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Data" sheetId="1" r:id="rId1"/>
    <sheet name="CAS" sheetId="2" r:id="rId2"/>
    <sheet name="Results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<sst xmlns="http://schemas.openxmlformats.org/spreadsheetml/2006/main" count="98" uniqueCount="52">
  <si>
    <t>Products</t>
  </si>
  <si>
    <t>Product A</t>
  </si>
  <si>
    <t>Product B</t>
  </si>
  <si>
    <t>Selling price</t>
  </si>
  <si>
    <t>Direct cost of materials per unit</t>
  </si>
  <si>
    <t>Direct cost of labour per unit</t>
  </si>
  <si>
    <t>Special direct production cost per unit</t>
  </si>
  <si>
    <t>Quantity of goods produced</t>
  </si>
  <si>
    <t>Quantity of goods sold</t>
  </si>
  <si>
    <t>Fixed overheads</t>
  </si>
  <si>
    <t>Factory supplies</t>
  </si>
  <si>
    <t>Indirect wages</t>
  </si>
  <si>
    <t>Indirect salaries</t>
  </si>
  <si>
    <t>Imputed costs</t>
  </si>
  <si>
    <t>Taxes</t>
  </si>
  <si>
    <t>Imputed Costs</t>
  </si>
  <si>
    <t>Total</t>
  </si>
  <si>
    <t>Percentage rates of reference figures for cost allocation sheet</t>
  </si>
  <si>
    <t>Cost types</t>
  </si>
  <si>
    <t>Cost centres</t>
  </si>
  <si>
    <t>Indirect cost centres</t>
  </si>
  <si>
    <t>Direct cost centres</t>
  </si>
  <si>
    <t>Indirect Production Cost Centre IPCC</t>
  </si>
  <si>
    <t>Materials cost centre</t>
  </si>
  <si>
    <t>Production</t>
  </si>
  <si>
    <t>Administration</t>
  </si>
  <si>
    <t>Sales</t>
  </si>
  <si>
    <t>Reapportionment GICC</t>
  </si>
  <si>
    <t>Reapportionment IPCC</t>
  </si>
  <si>
    <t>General Indirect Cost Centre
 GICC</t>
  </si>
  <si>
    <t>Overhead absorption base</t>
  </si>
  <si>
    <t>Direct cost of materials</t>
  </si>
  <si>
    <t>Direct cost of labour</t>
  </si>
  <si>
    <t>Overhead absorption rate</t>
  </si>
  <si>
    <t>Cost per unit and result per unit</t>
  </si>
  <si>
    <t>Indirect cost of materials</t>
  </si>
  <si>
    <t>Indirect cost of labour</t>
  </si>
  <si>
    <t>Special direct production cost</t>
  </si>
  <si>
    <t>Manufacturing cost</t>
  </si>
  <si>
    <t>Administration cost</t>
  </si>
  <si>
    <t>Sales cost</t>
  </si>
  <si>
    <t>Result</t>
  </si>
  <si>
    <t>Cost-of-sales results accounting 1</t>
  </si>
  <si>
    <t>Manufacturing cost of goods produced</t>
  </si>
  <si>
    <t>Change in inventory of finished goods</t>
  </si>
  <si>
    <t>Manufacturing cost of goods sold</t>
  </si>
  <si>
    <t>Total cost of goods sold</t>
  </si>
  <si>
    <t>Cost-of-sales results accounting 2</t>
  </si>
  <si>
    <t>Total cost results accounting</t>
  </si>
  <si>
    <t>Total performance</t>
  </si>
  <si>
    <t>Total cost of goods produced</t>
  </si>
  <si>
    <t>Total cost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</si>
</sst>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0.0%"/>
    <numFmt numFmtId="167" formatCode="#,##0.00_ ;[Red]\-#,##0.00\ "/>
    <numFmt numFmtId="168" formatCode="0.00_ ;\-0.00\ "/>
    <numFmt numFmtId="169" formatCode="#,##0.00_ ;\-#,##0.00\ "/>
    <numFmt numFmtId="170" formatCode="#,##0.0"/>
    <numFmt numFmtId="171" formatCode="0.000%"/>
    <numFmt numFmtId="172" formatCode="0.0000%"/>
    <numFmt numFmtId="173" formatCode="0.00000%"/>
    <numFmt numFmtId="174" formatCode="0.000000%"/>
    <numFmt numFmtId="175" formatCode="0.0000000%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0" fontId="0" fillId="0" borderId="2" xfId="17" applyNumberFormat="1" applyBorder="1" applyAlignment="1">
      <alignment/>
    </xf>
    <xf numFmtId="10" fontId="0" fillId="0" borderId="4" xfId="17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3" xfId="0" applyNumberFormat="1" applyBorder="1" applyAlignment="1">
      <alignment/>
    </xf>
    <xf numFmtId="43" fontId="0" fillId="0" borderId="4" xfId="0" applyNumberFormat="1" applyBorder="1" applyAlignment="1">
      <alignment/>
    </xf>
    <xf numFmtId="10" fontId="0" fillId="0" borderId="0" xfId="17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6" xfId="0" applyBorder="1" applyAlignment="1">
      <alignment/>
    </xf>
    <xf numFmtId="4" fontId="0" fillId="0" borderId="7" xfId="15" applyNumberFormat="1" applyBorder="1" applyAlignment="1">
      <alignment/>
    </xf>
    <xf numFmtId="4" fontId="0" fillId="0" borderId="8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8" xfId="15" applyNumberFormat="1" applyBorder="1" applyAlignment="1">
      <alignment/>
    </xf>
    <xf numFmtId="0" fontId="0" fillId="0" borderId="7" xfId="0" applyBorder="1" applyAlignment="1">
      <alignment/>
    </xf>
    <xf numFmtId="169" fontId="0" fillId="0" borderId="8" xfId="15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43" fontId="0" fillId="0" borderId="0" xfId="15" applyAlignment="1">
      <alignment/>
    </xf>
    <xf numFmtId="0" fontId="2" fillId="0" borderId="0" xfId="0" applyFont="1" applyAlignment="1">
      <alignment/>
    </xf>
    <xf numFmtId="175" fontId="0" fillId="0" borderId="0" xfId="17" applyNumberFormat="1" applyBorder="1" applyAlignment="1">
      <alignment/>
    </xf>
    <xf numFmtId="175" fontId="0" fillId="0" borderId="2" xfId="17" applyNumberFormat="1" applyBorder="1" applyAlignment="1">
      <alignment/>
    </xf>
    <xf numFmtId="175" fontId="0" fillId="0" borderId="1" xfId="17" applyNumberFormat="1" applyBorder="1" applyAlignment="1">
      <alignment/>
    </xf>
    <xf numFmtId="175" fontId="0" fillId="0" borderId="3" xfId="17" applyNumberFormat="1" applyBorder="1" applyAlignment="1">
      <alignment/>
    </xf>
    <xf numFmtId="175" fontId="0" fillId="0" borderId="5" xfId="17" applyNumberFormat="1" applyBorder="1" applyAlignment="1">
      <alignment/>
    </xf>
    <xf numFmtId="175" fontId="0" fillId="0" borderId="4" xfId="17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00390625" style="0" customWidth="1"/>
    <col min="2" max="2" width="12.8515625" style="0" customWidth="1"/>
    <col min="3" max="6" width="13.00390625" style="0" customWidth="1"/>
    <col min="7" max="7" width="12.8515625" style="0" customWidth="1"/>
    <col min="8" max="8" width="13.00390625" style="0" customWidth="1"/>
  </cols>
  <sheetData>
    <row r="1" ht="12.75">
      <c r="A1" s="33" t="s">
        <v>0</v>
      </c>
    </row>
    <row r="2" spans="2:3" ht="12.75">
      <c r="B2" s="21" t="s">
        <v>1</v>
      </c>
      <c r="C2" s="21" t="s">
        <v>2</v>
      </c>
    </row>
    <row r="3" spans="1:3" ht="12.75">
      <c r="A3" s="24" t="s">
        <v>3</v>
      </c>
      <c r="B3" s="25">
        <v>98</v>
      </c>
      <c r="C3" s="26">
        <v>107</v>
      </c>
    </row>
    <row r="4" spans="1:3" ht="12.75">
      <c r="A4" s="24" t="s">
        <v>4</v>
      </c>
      <c r="B4" s="25">
        <v>30</v>
      </c>
      <c r="C4" s="26">
        <v>32</v>
      </c>
    </row>
    <row r="5" spans="1:3" ht="12.75">
      <c r="A5" s="24" t="s">
        <v>5</v>
      </c>
      <c r="B5" s="25">
        <v>10</v>
      </c>
      <c r="C5" s="26">
        <v>8</v>
      </c>
    </row>
    <row r="6" spans="1:3" ht="12.75">
      <c r="A6" s="24" t="s">
        <v>6</v>
      </c>
      <c r="B6" s="25">
        <v>0</v>
      </c>
      <c r="C6" s="26">
        <v>2</v>
      </c>
    </row>
    <row r="7" spans="1:3" ht="12.75">
      <c r="A7" s="24" t="s">
        <v>7</v>
      </c>
      <c r="B7" s="27">
        <v>2100</v>
      </c>
      <c r="C7" s="28">
        <v>4000</v>
      </c>
    </row>
    <row r="8" spans="1:3" ht="12.75">
      <c r="A8" s="24" t="s">
        <v>8</v>
      </c>
      <c r="B8" s="27">
        <v>2100</v>
      </c>
      <c r="C8" s="28">
        <v>3960</v>
      </c>
    </row>
    <row r="10" ht="12.75">
      <c r="A10" s="33" t="s">
        <v>9</v>
      </c>
    </row>
    <row r="11" ht="12.75">
      <c r="D11" s="10" t="s">
        <v>16</v>
      </c>
    </row>
    <row r="12" spans="1:4" ht="12.75">
      <c r="A12" s="24" t="s">
        <v>10</v>
      </c>
      <c r="B12" s="29"/>
      <c r="C12" s="29"/>
      <c r="D12" s="30">
        <v>4000</v>
      </c>
    </row>
    <row r="13" spans="1:4" ht="12.75">
      <c r="A13" s="24" t="s">
        <v>11</v>
      </c>
      <c r="B13" s="29"/>
      <c r="C13" s="29"/>
      <c r="D13" s="30">
        <v>150070</v>
      </c>
    </row>
    <row r="14" spans="1:4" ht="12.75">
      <c r="A14" s="24" t="s">
        <v>12</v>
      </c>
      <c r="B14" s="29"/>
      <c r="C14" s="29"/>
      <c r="D14" s="30">
        <v>110000</v>
      </c>
    </row>
    <row r="15" spans="1:4" ht="12.75">
      <c r="A15" s="24" t="s">
        <v>13</v>
      </c>
      <c r="B15" s="29"/>
      <c r="C15" s="29"/>
      <c r="D15" s="30">
        <v>50000</v>
      </c>
    </row>
    <row r="16" spans="1:4" ht="12.75">
      <c r="A16" s="24" t="s">
        <v>14</v>
      </c>
      <c r="B16" s="29"/>
      <c r="C16" s="29"/>
      <c r="D16" s="30">
        <v>8815</v>
      </c>
    </row>
    <row r="18" ht="12.75">
      <c r="A18" s="33" t="s">
        <v>17</v>
      </c>
    </row>
    <row r="20" spans="1:8" ht="12.75">
      <c r="A20" s="46" t="s">
        <v>18</v>
      </c>
      <c r="B20" s="47"/>
      <c r="C20" s="40" t="s">
        <v>19</v>
      </c>
      <c r="D20" s="41"/>
      <c r="E20" s="41"/>
      <c r="F20" s="41"/>
      <c r="G20" s="41"/>
      <c r="H20" s="42"/>
    </row>
    <row r="21" spans="1:8" ht="12.75">
      <c r="A21" s="2"/>
      <c r="B21" s="3"/>
      <c r="C21" s="40" t="s">
        <v>20</v>
      </c>
      <c r="D21" s="42"/>
      <c r="E21" s="43" t="s">
        <v>21</v>
      </c>
      <c r="F21" s="44"/>
      <c r="G21" s="44"/>
      <c r="H21" s="45"/>
    </row>
    <row r="22" spans="1:8" ht="54" customHeight="1">
      <c r="A22" s="2"/>
      <c r="B22" s="4" t="s">
        <v>16</v>
      </c>
      <c r="C22" s="31" t="s">
        <v>29</v>
      </c>
      <c r="D22" s="31" t="s">
        <v>22</v>
      </c>
      <c r="E22" s="31" t="s">
        <v>23</v>
      </c>
      <c r="F22" s="31" t="s">
        <v>24</v>
      </c>
      <c r="G22" s="31" t="s">
        <v>25</v>
      </c>
      <c r="H22" s="31" t="s">
        <v>26</v>
      </c>
    </row>
    <row r="23" spans="1:8" ht="12.75">
      <c r="A23" s="5" t="s">
        <v>10</v>
      </c>
      <c r="B23" s="7">
        <f>IF(SUM(C23:H23)=100%,SUM(C23:H23),"Fehler: Die Summe muß 100% betragen")</f>
        <v>1</v>
      </c>
      <c r="C23" s="34">
        <v>0</v>
      </c>
      <c r="D23" s="34">
        <v>1</v>
      </c>
      <c r="E23" s="34">
        <v>0</v>
      </c>
      <c r="F23" s="34">
        <v>0</v>
      </c>
      <c r="G23" s="34">
        <v>0</v>
      </c>
      <c r="H23" s="35">
        <v>0</v>
      </c>
    </row>
    <row r="24" spans="1:8" ht="12.75">
      <c r="A24" s="5" t="s">
        <v>11</v>
      </c>
      <c r="B24" s="7">
        <f aca="true" t="shared" si="0" ref="B24:B29">IF(SUM(C24:H24)=100%,SUM(C24:H24),"Fehler: Die Summe muß 100% betragen")</f>
        <v>1</v>
      </c>
      <c r="C24" s="36">
        <v>0</v>
      </c>
      <c r="D24" s="34">
        <v>0</v>
      </c>
      <c r="E24" s="34">
        <f>9550/150070</f>
        <v>0.06363696941427334</v>
      </c>
      <c r="F24" s="34">
        <f>90520/150070</f>
        <v>0.6031851802492171</v>
      </c>
      <c r="G24" s="34">
        <f>20000/150070</f>
        <v>0.13327114013460384</v>
      </c>
      <c r="H24" s="35">
        <f>30000/150070</f>
        <v>0.19990671020190579</v>
      </c>
    </row>
    <row r="25" spans="1:8" ht="12.75">
      <c r="A25" s="5" t="s">
        <v>12</v>
      </c>
      <c r="B25" s="7">
        <f t="shared" si="0"/>
        <v>1</v>
      </c>
      <c r="C25" s="36">
        <v>0</v>
      </c>
      <c r="D25" s="34">
        <v>0</v>
      </c>
      <c r="E25" s="34">
        <v>0</v>
      </c>
      <c r="F25" s="34">
        <v>0</v>
      </c>
      <c r="G25" s="34">
        <f>40000/110000</f>
        <v>0.36363636363636365</v>
      </c>
      <c r="H25" s="35">
        <f>70000/110000</f>
        <v>0.6363636363636364</v>
      </c>
    </row>
    <row r="26" spans="1:8" ht="12.75">
      <c r="A26" s="5" t="s">
        <v>15</v>
      </c>
      <c r="B26" s="7">
        <f t="shared" si="0"/>
        <v>1</v>
      </c>
      <c r="C26" s="36">
        <f>28000/50000</f>
        <v>0.56</v>
      </c>
      <c r="D26" s="34">
        <v>0</v>
      </c>
      <c r="E26" s="34">
        <v>0</v>
      </c>
      <c r="F26" s="34">
        <v>0</v>
      </c>
      <c r="G26" s="34">
        <f>1/5</f>
        <v>0.2</v>
      </c>
      <c r="H26" s="35">
        <f>12/50</f>
        <v>0.24</v>
      </c>
    </row>
    <row r="27" spans="1:8" ht="12.75">
      <c r="A27" s="5" t="s">
        <v>14</v>
      </c>
      <c r="B27" s="7">
        <f t="shared" si="0"/>
        <v>1</v>
      </c>
      <c r="C27" s="36">
        <v>0</v>
      </c>
      <c r="D27" s="34">
        <v>0</v>
      </c>
      <c r="E27" s="34">
        <v>0</v>
      </c>
      <c r="F27" s="34">
        <v>0</v>
      </c>
      <c r="G27" s="34">
        <f>6326/8815</f>
        <v>0.7176403857061826</v>
      </c>
      <c r="H27" s="35">
        <f>2489/8815</f>
        <v>0.28235961429381734</v>
      </c>
    </row>
    <row r="28" spans="1:8" ht="12.75">
      <c r="A28" s="5" t="s">
        <v>27</v>
      </c>
      <c r="B28" s="7">
        <f t="shared" si="0"/>
        <v>1</v>
      </c>
      <c r="C28" s="36"/>
      <c r="D28" s="34"/>
      <c r="E28" s="34">
        <v>0</v>
      </c>
      <c r="F28" s="34">
        <v>1</v>
      </c>
      <c r="G28" s="34">
        <v>0</v>
      </c>
      <c r="H28" s="35">
        <v>0</v>
      </c>
    </row>
    <row r="29" spans="1:8" ht="12.75">
      <c r="A29" s="6" t="s">
        <v>28</v>
      </c>
      <c r="B29" s="8">
        <f t="shared" si="0"/>
        <v>1</v>
      </c>
      <c r="C29" s="37"/>
      <c r="D29" s="38"/>
      <c r="E29" s="38"/>
      <c r="F29" s="38">
        <v>1</v>
      </c>
      <c r="G29" s="38"/>
      <c r="H29" s="39"/>
    </row>
  </sheetData>
  <mergeCells count="4">
    <mergeCell ref="C20:H20"/>
    <mergeCell ref="C21:D21"/>
    <mergeCell ref="E21:H21"/>
    <mergeCell ref="A20:B20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&amp;C&amp;"Arial,Fett"&amp;12Full Costing Based on Cost of Labour
- Data -</oddHeader>
    <oddFooter xml:space="preserve">&amp;R&amp;6&amp;F &amp;A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B1"/>
    </sheetView>
  </sheetViews>
  <sheetFormatPr defaultColWidth="11.421875" defaultRowHeight="12.75"/>
  <cols>
    <col min="1" max="1" width="21.8515625" style="0" customWidth="1"/>
    <col min="2" max="3" width="14.7109375" style="0" customWidth="1"/>
    <col min="4" max="4" width="14.7109375" style="0" bestFit="1" customWidth="1"/>
    <col min="5" max="6" width="14.7109375" style="0" customWidth="1"/>
    <col min="7" max="7" width="14.57421875" style="0" customWidth="1"/>
    <col min="8" max="8" width="14.7109375" style="0" customWidth="1"/>
  </cols>
  <sheetData>
    <row r="1" spans="1:8" ht="12.75">
      <c r="A1" s="46" t="s">
        <v>18</v>
      </c>
      <c r="B1" s="47"/>
      <c r="C1" s="40" t="s">
        <v>19</v>
      </c>
      <c r="D1" s="41"/>
      <c r="E1" s="41"/>
      <c r="F1" s="41"/>
      <c r="G1" s="41"/>
      <c r="H1" s="42"/>
    </row>
    <row r="2" spans="1:8" ht="12.75">
      <c r="A2" s="2"/>
      <c r="B2" s="3"/>
      <c r="C2" s="40" t="s">
        <v>20</v>
      </c>
      <c r="D2" s="42"/>
      <c r="E2" s="43" t="s">
        <v>21</v>
      </c>
      <c r="F2" s="44"/>
      <c r="G2" s="44"/>
      <c r="H2" s="45"/>
    </row>
    <row r="3" spans="1:8" ht="38.25">
      <c r="A3" s="2"/>
      <c r="B3" s="13" t="s">
        <v>16</v>
      </c>
      <c r="C3" s="31" t="s">
        <v>29</v>
      </c>
      <c r="D3" s="31" t="s">
        <v>22</v>
      </c>
      <c r="E3" s="31" t="s">
        <v>23</v>
      </c>
      <c r="F3" s="31" t="s">
        <v>24</v>
      </c>
      <c r="G3" s="31" t="s">
        <v>25</v>
      </c>
      <c r="H3" s="31" t="s">
        <v>26</v>
      </c>
    </row>
    <row r="4" spans="1:8" ht="12.75">
      <c r="A4" s="5" t="s">
        <v>10</v>
      </c>
      <c r="B4" s="12">
        <f>Data!$D$12</f>
        <v>4000</v>
      </c>
      <c r="C4" s="14">
        <f>$B$4*Data!$C$23</f>
        <v>0</v>
      </c>
      <c r="D4" s="12">
        <f>$B$4*Data!$D$23</f>
        <v>4000</v>
      </c>
      <c r="E4" s="12">
        <f>$B$4*Data!$E$23</f>
        <v>0</v>
      </c>
      <c r="F4" s="12">
        <f>$B$4*Data!$F$23</f>
        <v>0</v>
      </c>
      <c r="G4" s="12">
        <f>$B$4*Data!$G$23</f>
        <v>0</v>
      </c>
      <c r="H4" s="15">
        <f>$B$4*Data!H23</f>
        <v>0</v>
      </c>
    </row>
    <row r="5" spans="1:8" ht="12.75">
      <c r="A5" s="5" t="s">
        <v>11</v>
      </c>
      <c r="B5" s="12">
        <f>Data!$D$13</f>
        <v>150070</v>
      </c>
      <c r="C5" s="14">
        <f>$B$5*Data!$C$24</f>
        <v>0</v>
      </c>
      <c r="D5" s="12">
        <f>$B$5*Data!$D$24</f>
        <v>0</v>
      </c>
      <c r="E5" s="12">
        <f>$B$5*Data!$E$24</f>
        <v>9550</v>
      </c>
      <c r="F5" s="12">
        <f>$B$5*Data!$F$24</f>
        <v>90520</v>
      </c>
      <c r="G5" s="12">
        <f>$B$5*Data!$G$24</f>
        <v>19999.999999999996</v>
      </c>
      <c r="H5" s="15">
        <f>$B$5*Data!H24</f>
        <v>30000</v>
      </c>
    </row>
    <row r="6" spans="1:8" ht="12.75">
      <c r="A6" s="5" t="s">
        <v>12</v>
      </c>
      <c r="B6" s="12">
        <f>Data!$D$14</f>
        <v>110000</v>
      </c>
      <c r="C6" s="14">
        <f>$B$6*Data!$C$25</f>
        <v>0</v>
      </c>
      <c r="D6" s="12">
        <f>$B$6*Data!$D$25</f>
        <v>0</v>
      </c>
      <c r="E6" s="12">
        <f>$B$6*Data!$E$25</f>
        <v>0</v>
      </c>
      <c r="F6" s="12">
        <f>$B$6*Data!$F$25</f>
        <v>0</v>
      </c>
      <c r="G6" s="12">
        <f>$B$6*Data!$G$25</f>
        <v>40000</v>
      </c>
      <c r="H6" s="15">
        <f>$B$6*Data!H25</f>
        <v>70000</v>
      </c>
    </row>
    <row r="7" spans="1:8" ht="12.75">
      <c r="A7" s="5" t="s">
        <v>15</v>
      </c>
      <c r="B7" s="12">
        <f>Data!$D$15</f>
        <v>50000</v>
      </c>
      <c r="C7" s="14">
        <f>$B$7*Data!$C$26</f>
        <v>28000.000000000004</v>
      </c>
      <c r="D7" s="12">
        <f>$B$7*Data!$D$26</f>
        <v>0</v>
      </c>
      <c r="E7" s="12">
        <f>$B$7*Data!$E$26</f>
        <v>0</v>
      </c>
      <c r="F7" s="12">
        <f>$B$7*Data!$F$26</f>
        <v>0</v>
      </c>
      <c r="G7" s="12">
        <f>$B$7*Data!$G$26</f>
        <v>10000</v>
      </c>
      <c r="H7" s="15">
        <f>$B$7*Data!H26</f>
        <v>12000</v>
      </c>
    </row>
    <row r="8" spans="1:8" ht="12.75">
      <c r="A8" s="5" t="s">
        <v>14</v>
      </c>
      <c r="B8" s="12">
        <f>Data!$D$16</f>
        <v>8815</v>
      </c>
      <c r="C8" s="14">
        <f>$B$8*Data!$C$27</f>
        <v>0</v>
      </c>
      <c r="D8" s="12">
        <f>$B$8*Data!$D$27</f>
        <v>0</v>
      </c>
      <c r="E8" s="12">
        <f>$B$8*Data!$E$27</f>
        <v>0</v>
      </c>
      <c r="F8" s="12">
        <f>$B$8*Data!$F$27</f>
        <v>0</v>
      </c>
      <c r="G8" s="12">
        <f>$B$8*Data!$G$27</f>
        <v>6326</v>
      </c>
      <c r="H8" s="15">
        <f>$B$8*Data!H27</f>
        <v>2489</v>
      </c>
    </row>
    <row r="9" spans="1:8" ht="12.75">
      <c r="A9" s="5" t="s">
        <v>16</v>
      </c>
      <c r="B9" s="12">
        <f>SUM(B4:B8)</f>
        <v>322885</v>
      </c>
      <c r="C9" s="14">
        <f>SUM(C4:C8)</f>
        <v>28000.000000000004</v>
      </c>
      <c r="D9" s="12">
        <f>SUM(D4:D8)</f>
        <v>4000</v>
      </c>
      <c r="E9" s="12">
        <f>SUM(E4:E8)</f>
        <v>9550</v>
      </c>
      <c r="F9" s="12">
        <f>SUM(F4:F8)</f>
        <v>90520</v>
      </c>
      <c r="G9" s="12">
        <f>SUM(G4:$G$8)</f>
        <v>76326</v>
      </c>
      <c r="H9" s="15">
        <f>SUM(H4:H8)</f>
        <v>114489</v>
      </c>
    </row>
    <row r="10" spans="1:8" ht="12.75">
      <c r="A10" s="5" t="s">
        <v>27</v>
      </c>
      <c r="B10" s="12"/>
      <c r="C10" s="14"/>
      <c r="D10" s="12"/>
      <c r="E10" s="12">
        <f>$C$9*Data!$E$28</f>
        <v>0</v>
      </c>
      <c r="F10" s="12">
        <f>$C$9*Data!$F$28</f>
        <v>28000.000000000004</v>
      </c>
      <c r="G10" s="12">
        <f>$C$9*Data!$G$28</f>
        <v>0</v>
      </c>
      <c r="H10" s="15">
        <f>$C$9*Data!$H$28</f>
        <v>0</v>
      </c>
    </row>
    <row r="11" spans="1:8" ht="12.75">
      <c r="A11" s="5" t="s">
        <v>28</v>
      </c>
      <c r="B11" s="12"/>
      <c r="C11" s="14"/>
      <c r="D11" s="12"/>
      <c r="E11" s="12"/>
      <c r="F11" s="12">
        <f>$D$9*Data!$F$29</f>
        <v>4000</v>
      </c>
      <c r="G11" s="12"/>
      <c r="H11" s="15"/>
    </row>
    <row r="12" spans="1:8" ht="12.75">
      <c r="A12" s="6" t="s">
        <v>16</v>
      </c>
      <c r="B12" s="16">
        <f>SUM(E12:H12)</f>
        <v>322885</v>
      </c>
      <c r="C12" s="17"/>
      <c r="D12" s="16"/>
      <c r="E12" s="16">
        <f>E9+E10+E11</f>
        <v>9550</v>
      </c>
      <c r="F12" s="16">
        <f>F9+F10+F11</f>
        <v>122520</v>
      </c>
      <c r="G12" s="16">
        <f>G9+G10+G11</f>
        <v>76326</v>
      </c>
      <c r="H12" s="18">
        <f>H9+H10+H11</f>
        <v>114489</v>
      </c>
    </row>
    <row r="13" spans="1:8" ht="12.75">
      <c r="A13" t="s">
        <v>30</v>
      </c>
      <c r="B13" s="11"/>
      <c r="C13" s="11"/>
      <c r="D13" s="11"/>
      <c r="E13" s="11">
        <f>Data!$B$4*Data!$B$7+Data!$C$4*Data!$C$7</f>
        <v>191000</v>
      </c>
      <c r="F13" s="32">
        <f>Data!B5*Data!B7+Data!C5*Data!C7</f>
        <v>53000</v>
      </c>
      <c r="G13" s="11">
        <f>Results!$C$8*Data!$B$8+Results!$D$8*Data!$C$8</f>
        <v>381586.25660377357</v>
      </c>
      <c r="H13" s="11">
        <f>Results!$C$8*Data!$B$8+Results!$D$8*Data!$C$8</f>
        <v>381586.25660377357</v>
      </c>
    </row>
    <row r="14" spans="5:8" ht="25.5">
      <c r="E14" s="9" t="s">
        <v>31</v>
      </c>
      <c r="F14" s="9" t="s">
        <v>32</v>
      </c>
      <c r="G14" s="48" t="s">
        <v>45</v>
      </c>
      <c r="H14" s="49"/>
    </row>
    <row r="16" spans="1:8" ht="12.75">
      <c r="A16" t="s">
        <v>33</v>
      </c>
      <c r="E16" s="19">
        <f>E12/E13</f>
        <v>0.05</v>
      </c>
      <c r="F16" s="19">
        <f>F12/F13</f>
        <v>2.311698113207547</v>
      </c>
      <c r="G16" s="19">
        <f>G12/G13</f>
        <v>0.20002292713401984</v>
      </c>
      <c r="H16" s="19">
        <f>H12/H13</f>
        <v>0.3000343907010298</v>
      </c>
    </row>
  </sheetData>
  <mergeCells count="5">
    <mergeCell ref="A1:B1"/>
    <mergeCell ref="G14:H14"/>
    <mergeCell ref="C1:H1"/>
    <mergeCell ref="C2:D2"/>
    <mergeCell ref="E2:H2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&amp;C&amp;"Arial,Fett"&amp;12Full Costing Based on Cost of Labour
- Cost Allocation Sheet -</oddHeader>
    <oddFooter>&amp;R&amp;6&amp;F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11.421875" defaultRowHeight="12.75"/>
  <cols>
    <col min="1" max="1" width="33.421875" style="0" bestFit="1" customWidth="1"/>
    <col min="3" max="3" width="14.7109375" style="0" bestFit="1" customWidth="1"/>
    <col min="4" max="4" width="12.7109375" style="0" bestFit="1" customWidth="1"/>
  </cols>
  <sheetData>
    <row r="1" ht="12.75">
      <c r="A1" s="33" t="s">
        <v>34</v>
      </c>
    </row>
    <row r="2" spans="1:4" ht="12.75">
      <c r="A2" s="1"/>
      <c r="C2" s="21" t="s">
        <v>1</v>
      </c>
      <c r="D2" s="21" t="s">
        <v>2</v>
      </c>
    </row>
    <row r="3" spans="1:4" ht="12.75">
      <c r="A3" t="s">
        <v>31</v>
      </c>
      <c r="C3" s="23">
        <f>Data!B4</f>
        <v>30</v>
      </c>
      <c r="D3" s="23">
        <f>Data!C4</f>
        <v>32</v>
      </c>
    </row>
    <row r="4" spans="1:4" ht="12.75">
      <c r="A4" t="s">
        <v>35</v>
      </c>
      <c r="B4" s="20">
        <f>CAS!E16</f>
        <v>0.05</v>
      </c>
      <c r="C4" s="23">
        <f>$B$4*C3</f>
        <v>1.5</v>
      </c>
      <c r="D4" s="23">
        <f>$B$4*D3</f>
        <v>1.6</v>
      </c>
    </row>
    <row r="5" spans="1:4" ht="12.75">
      <c r="A5" t="s">
        <v>32</v>
      </c>
      <c r="C5" s="23">
        <f>Data!B5</f>
        <v>10</v>
      </c>
      <c r="D5" s="23">
        <f>Data!C5</f>
        <v>8</v>
      </c>
    </row>
    <row r="6" spans="1:4" ht="12.75">
      <c r="A6" t="s">
        <v>36</v>
      </c>
      <c r="B6" s="20">
        <f>CAS!F16</f>
        <v>2.311698113207547</v>
      </c>
      <c r="C6" s="23">
        <f>B6*C5</f>
        <v>23.116981132075473</v>
      </c>
      <c r="D6" s="23">
        <f>B6*D5</f>
        <v>18.493584905660377</v>
      </c>
    </row>
    <row r="7" spans="1:5" ht="12.75">
      <c r="A7" t="s">
        <v>37</v>
      </c>
      <c r="C7" s="23">
        <f>Data!B6</f>
        <v>0</v>
      </c>
      <c r="D7" s="23">
        <f>Data!C6</f>
        <v>2</v>
      </c>
      <c r="E7" s="22"/>
    </row>
    <row r="8" spans="1:4" ht="12.75">
      <c r="A8" t="s">
        <v>38</v>
      </c>
      <c r="C8" s="23">
        <f>SUM(C3:C7)</f>
        <v>64.61698113207547</v>
      </c>
      <c r="D8" s="23">
        <f>SUM(D3:D7)</f>
        <v>62.09358490566038</v>
      </c>
    </row>
    <row r="9" spans="1:4" ht="12.75">
      <c r="A9" t="s">
        <v>39</v>
      </c>
      <c r="B9" s="20">
        <f>CAS!G16</f>
        <v>0.20002292713401984</v>
      </c>
      <c r="C9" s="23">
        <f>$B$9*C8</f>
        <v>12.924877708601466</v>
      </c>
      <c r="D9" s="23">
        <f>$B$9*D8</f>
        <v>12.42014060907498</v>
      </c>
    </row>
    <row r="10" spans="1:4" ht="12.75">
      <c r="A10" t="s">
        <v>40</v>
      </c>
      <c r="B10" s="20">
        <f>CAS!H16</f>
        <v>0.3000343907010298</v>
      </c>
      <c r="C10" s="23">
        <f>$B$10*C8</f>
        <v>19.3873165629022</v>
      </c>
      <c r="D10" s="23">
        <f>$B$10*D8</f>
        <v>18.630210913612473</v>
      </c>
    </row>
    <row r="11" spans="1:4" ht="12.75">
      <c r="A11" t="s">
        <v>51</v>
      </c>
      <c r="C11" s="23">
        <f>C8+C9+C10</f>
        <v>96.92917540357914</v>
      </c>
      <c r="D11" s="23">
        <f>D8+D9+D10</f>
        <v>93.14393642834783</v>
      </c>
    </row>
    <row r="12" spans="1:4" ht="12.75">
      <c r="A12" t="s">
        <v>41</v>
      </c>
      <c r="C12" s="23">
        <f>Data!B3-C11</f>
        <v>1.070824596420863</v>
      </c>
      <c r="D12" s="23">
        <f>Data!C3-D11</f>
        <v>13.856063571652172</v>
      </c>
    </row>
    <row r="13" spans="3:4" ht="12.75">
      <c r="C13" s="23"/>
      <c r="D13" s="23"/>
    </row>
    <row r="14" ht="12.75">
      <c r="A14" s="33" t="s">
        <v>42</v>
      </c>
    </row>
    <row r="15" spans="3:5" ht="12.75">
      <c r="C15" s="21"/>
      <c r="D15" s="21"/>
      <c r="E15" s="10" t="s">
        <v>16</v>
      </c>
    </row>
    <row r="16" spans="1:5" ht="12.75">
      <c r="A16" t="s">
        <v>31</v>
      </c>
      <c r="C16" s="23">
        <f>C3*Data!B7</f>
        <v>63000</v>
      </c>
      <c r="D16" s="23">
        <f>D3*Data!C7</f>
        <v>128000</v>
      </c>
      <c r="E16" s="23">
        <f aca="true" t="shared" si="0" ref="E16:E28">SUM(C16:D16)</f>
        <v>191000</v>
      </c>
    </row>
    <row r="17" spans="1:5" ht="12.75">
      <c r="A17" t="s">
        <v>35</v>
      </c>
      <c r="B17" s="20">
        <f>B4</f>
        <v>0.05</v>
      </c>
      <c r="C17" s="23">
        <f>$B$17*C16</f>
        <v>3150</v>
      </c>
      <c r="D17" s="23">
        <f>$B$17*D16</f>
        <v>6400</v>
      </c>
      <c r="E17" s="23">
        <f t="shared" si="0"/>
        <v>9550</v>
      </c>
    </row>
    <row r="18" spans="1:5" ht="12.75">
      <c r="A18" t="s">
        <v>32</v>
      </c>
      <c r="C18" s="23">
        <f>C5*Data!B7</f>
        <v>21000</v>
      </c>
      <c r="D18" s="23">
        <f>D5*Data!C7</f>
        <v>32000</v>
      </c>
      <c r="E18" s="23">
        <f t="shared" si="0"/>
        <v>53000</v>
      </c>
    </row>
    <row r="19" spans="1:5" ht="12.75">
      <c r="A19" t="s">
        <v>36</v>
      </c>
      <c r="B19" s="20">
        <f>B6</f>
        <v>2.311698113207547</v>
      </c>
      <c r="C19" s="23">
        <f>C6*Data!B7</f>
        <v>48545.660377358494</v>
      </c>
      <c r="D19" s="23">
        <f>D6*Data!C7</f>
        <v>73974.3396226415</v>
      </c>
      <c r="E19" s="23">
        <f t="shared" si="0"/>
        <v>122520</v>
      </c>
    </row>
    <row r="20" spans="1:5" ht="12.75">
      <c r="A20" t="s">
        <v>37</v>
      </c>
      <c r="C20" s="23">
        <f>C7*Data!B7</f>
        <v>0</v>
      </c>
      <c r="D20" s="23">
        <f>D7*Data!C7</f>
        <v>8000</v>
      </c>
      <c r="E20" s="23">
        <f t="shared" si="0"/>
        <v>8000</v>
      </c>
    </row>
    <row r="21" spans="1:5" ht="12.75">
      <c r="A21" t="s">
        <v>43</v>
      </c>
      <c r="C21" s="23">
        <f>SUM(C16:C20)</f>
        <v>135695.6603773585</v>
      </c>
      <c r="D21" s="23">
        <f>SUM(D16:D20)</f>
        <v>248374.3396226415</v>
      </c>
      <c r="E21" s="23">
        <f t="shared" si="0"/>
        <v>384070</v>
      </c>
    </row>
    <row r="22" spans="1:5" ht="12.75">
      <c r="A22" t="s">
        <v>44</v>
      </c>
      <c r="C22" s="23">
        <f>(Data!B8-Data!B7)*C8</f>
        <v>0</v>
      </c>
      <c r="D22" s="23">
        <f>(Data!C8-Data!C7)*D8</f>
        <v>-2483.743396226415</v>
      </c>
      <c r="E22" s="23">
        <f t="shared" si="0"/>
        <v>-2483.743396226415</v>
      </c>
    </row>
    <row r="23" spans="1:5" ht="12.75">
      <c r="A23" t="s">
        <v>45</v>
      </c>
      <c r="C23" s="23">
        <f>C21+C22</f>
        <v>135695.6603773585</v>
      </c>
      <c r="D23" s="23">
        <f>D21+D22</f>
        <v>245890.5962264151</v>
      </c>
      <c r="E23" s="23">
        <f t="shared" si="0"/>
        <v>381586.25660377357</v>
      </c>
    </row>
    <row r="24" spans="1:5" ht="12.75">
      <c r="A24" t="s">
        <v>39</v>
      </c>
      <c r="B24" s="20">
        <f>B9</f>
        <v>0.20002292713401984</v>
      </c>
      <c r="C24" s="23">
        <f>$B$24*C23</f>
        <v>27142.243188063083</v>
      </c>
      <c r="D24" s="23">
        <f>$B$24*D23</f>
        <v>49183.756811936924</v>
      </c>
      <c r="E24" s="23">
        <f t="shared" si="0"/>
        <v>76326</v>
      </c>
    </row>
    <row r="25" spans="1:5" ht="12.75">
      <c r="A25" t="s">
        <v>40</v>
      </c>
      <c r="B25" s="20">
        <f>B10</f>
        <v>0.3000343907010298</v>
      </c>
      <c r="C25" s="23">
        <f>$B$25*C23</f>
        <v>40713.36478209462</v>
      </c>
      <c r="D25" s="23">
        <f>$B$25*D23</f>
        <v>73775.63521790538</v>
      </c>
      <c r="E25" s="23">
        <f t="shared" si="0"/>
        <v>114489</v>
      </c>
    </row>
    <row r="26" spans="1:5" ht="12.75">
      <c r="A26" t="s">
        <v>46</v>
      </c>
      <c r="C26" s="23">
        <f>C23+C24+C25</f>
        <v>203551.2683475162</v>
      </c>
      <c r="D26" s="23">
        <f>D23+D24+D25</f>
        <v>368849.98825625743</v>
      </c>
      <c r="E26" s="23">
        <f t="shared" si="0"/>
        <v>572401.2566037737</v>
      </c>
    </row>
    <row r="27" spans="1:5" ht="12.75">
      <c r="A27" t="s">
        <v>26</v>
      </c>
      <c r="C27" s="23">
        <f>Data!B3*Data!B8</f>
        <v>205800</v>
      </c>
      <c r="D27" s="23">
        <f>Data!C3*Data!C8</f>
        <v>423720</v>
      </c>
      <c r="E27" s="23">
        <f t="shared" si="0"/>
        <v>629520</v>
      </c>
    </row>
    <row r="28" spans="1:5" ht="12.75">
      <c r="A28" t="s">
        <v>41</v>
      </c>
      <c r="C28" s="23">
        <f>C27-C26</f>
        <v>2248.7316524838097</v>
      </c>
      <c r="D28" s="23">
        <f>D27-D26</f>
        <v>54870.011743742565</v>
      </c>
      <c r="E28" s="23">
        <f t="shared" si="0"/>
        <v>57118.743396226375</v>
      </c>
    </row>
    <row r="29" spans="3:5" ht="12.75">
      <c r="C29" s="23"/>
      <c r="D29" s="23"/>
      <c r="E29" s="23"/>
    </row>
    <row r="30" ht="12.75">
      <c r="A30" s="33" t="s">
        <v>47</v>
      </c>
    </row>
    <row r="31" spans="1:5" ht="12.75">
      <c r="A31" s="1"/>
      <c r="E31" s="10"/>
    </row>
    <row r="32" spans="1:5" ht="12.75">
      <c r="A32" t="s">
        <v>26</v>
      </c>
      <c r="C32" s="23">
        <f>C27</f>
        <v>205800</v>
      </c>
      <c r="D32" s="23">
        <f>D27</f>
        <v>423720</v>
      </c>
      <c r="E32" s="23">
        <f>SUM(C32:D32)</f>
        <v>629520</v>
      </c>
    </row>
    <row r="33" spans="1:5" ht="12.75">
      <c r="A33" t="s">
        <v>46</v>
      </c>
      <c r="C33" s="23">
        <f>C11*Data!B8</f>
        <v>203551.2683475162</v>
      </c>
      <c r="D33" s="23">
        <f>D11*Data!C8</f>
        <v>368849.9882562574</v>
      </c>
      <c r="E33" s="23">
        <f>SUM(C33:D33)</f>
        <v>572401.2566037736</v>
      </c>
    </row>
    <row r="34" spans="1:5" ht="12.75">
      <c r="A34" t="s">
        <v>41</v>
      </c>
      <c r="C34" s="23">
        <f>C32-C33</f>
        <v>2248.7316524838097</v>
      </c>
      <c r="D34" s="23">
        <f>D32-D33</f>
        <v>54870.01174374262</v>
      </c>
      <c r="E34" s="23">
        <f>SUM(C34:D34)</f>
        <v>57118.74339622643</v>
      </c>
    </row>
    <row r="35" spans="3:5" ht="12.75">
      <c r="C35" s="23"/>
      <c r="D35" s="23"/>
      <c r="E35" s="23"/>
    </row>
    <row r="36" ht="12.75">
      <c r="A36" s="33" t="s">
        <v>48</v>
      </c>
    </row>
    <row r="38" spans="1:5" ht="12.75">
      <c r="A38" t="s">
        <v>26</v>
      </c>
      <c r="C38" s="23">
        <f>C32</f>
        <v>205800</v>
      </c>
      <c r="D38" s="23">
        <f>D32</f>
        <v>423720</v>
      </c>
      <c r="E38" s="23">
        <f>SUM(C38:D38)</f>
        <v>629520</v>
      </c>
    </row>
    <row r="39" spans="1:5" ht="12.75">
      <c r="A39" t="s">
        <v>44</v>
      </c>
      <c r="C39" s="23">
        <f>(Data!B7-Data!B8)*Results!C8</f>
        <v>0</v>
      </c>
      <c r="D39" s="23">
        <f>(Data!C7-Data!C8)*Results!D8</f>
        <v>2483.743396226415</v>
      </c>
      <c r="E39" s="23">
        <f>SUM(C39:D39)</f>
        <v>2483.743396226415</v>
      </c>
    </row>
    <row r="40" spans="1:5" ht="12.75">
      <c r="A40" t="s">
        <v>49</v>
      </c>
      <c r="C40" s="23">
        <f>SUM(C38:C39)</f>
        <v>205800</v>
      </c>
      <c r="D40" s="23">
        <f>SUM(D38:D39)</f>
        <v>426203.74339622643</v>
      </c>
      <c r="E40" s="23">
        <f>SUM(C40:D40)</f>
        <v>632003.7433962264</v>
      </c>
    </row>
    <row r="41" spans="1:5" ht="12.75">
      <c r="A41" t="s">
        <v>50</v>
      </c>
      <c r="C41" s="23">
        <f>C33+C39</f>
        <v>203551.2683475162</v>
      </c>
      <c r="D41" s="23">
        <f>D33+D39</f>
        <v>371333.7316524838</v>
      </c>
      <c r="E41" s="23">
        <f>SUM(C41:D41)</f>
        <v>574885</v>
      </c>
    </row>
    <row r="42" spans="1:5" ht="12.75">
      <c r="A42" t="s">
        <v>41</v>
      </c>
      <c r="C42" s="23">
        <f>C40-C41</f>
        <v>2248.7316524838097</v>
      </c>
      <c r="D42" s="23">
        <f>D40-D41</f>
        <v>54870.01174374262</v>
      </c>
      <c r="E42" s="23">
        <f>SUM(C42:D42)</f>
        <v>57118.74339622643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&amp;C&amp;"Arial,Fett"&amp;12Full Costing Based on Cost of Labour
- Results -</oddHeader>
    <oddFooter>&amp;R&amp;6&amp;F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1999-06-04T04:46:33Z</cp:lastPrinted>
  <dcterms:created xsi:type="dcterms:W3CDTF">1999-01-18T16:15:15Z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