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 codeName="{AE6600E7-7A62-396C-DE95-9942FA9DD81E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Klaus\HPP\Homepage\"/>
    </mc:Choice>
  </mc:AlternateContent>
  <xr:revisionPtr revIDLastSave="0" documentId="13_ncr:1_{0C690905-5C7E-49FA-B794-9077D41D16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7" i="1" l="1"/>
  <c r="D57" i="1" s="1"/>
  <c r="A7" i="1"/>
  <c r="A9" i="1" s="1"/>
  <c r="E67" i="1" l="1"/>
  <c r="E66" i="1"/>
  <c r="E65" i="1"/>
  <c r="A26" i="1" l="1"/>
  <c r="D26" i="1" s="1"/>
  <c r="A20" i="1"/>
  <c r="A27" i="1"/>
  <c r="A28" i="1"/>
  <c r="A29" i="1"/>
  <c r="D29" i="1" s="1"/>
  <c r="A30" i="1"/>
  <c r="D30" i="1" s="1"/>
  <c r="A31" i="1"/>
  <c r="D31" i="1" s="1"/>
  <c r="A32" i="1"/>
  <c r="D32" i="1" s="1"/>
  <c r="A33" i="1"/>
  <c r="D33" i="1" s="1"/>
  <c r="A34" i="1"/>
  <c r="D34" i="1" s="1"/>
  <c r="A35" i="1"/>
  <c r="D35" i="1" s="1"/>
  <c r="A36" i="1"/>
  <c r="D36" i="1" s="1"/>
  <c r="A37" i="1"/>
  <c r="D37" i="1" s="1"/>
  <c r="A38" i="1"/>
  <c r="D38" i="1" s="1"/>
  <c r="A39" i="1"/>
  <c r="D39" i="1" s="1"/>
  <c r="A40" i="1"/>
  <c r="D40" i="1" s="1"/>
  <c r="A41" i="1"/>
  <c r="A42" i="1"/>
  <c r="D42" i="1" s="1"/>
  <c r="A43" i="1"/>
  <c r="D43" i="1" s="1"/>
  <c r="A44" i="1"/>
  <c r="D44" i="1" s="1"/>
  <c r="A45" i="1"/>
  <c r="D45" i="1" s="1"/>
  <c r="A46" i="1"/>
  <c r="D46" i="1" s="1"/>
  <c r="A47" i="1"/>
  <c r="A48" i="1"/>
  <c r="D48" i="1" s="1"/>
  <c r="A49" i="1"/>
  <c r="D49" i="1" s="1"/>
  <c r="A50" i="1"/>
  <c r="D50" i="1" s="1"/>
  <c r="A51" i="1"/>
  <c r="D51" i="1" s="1"/>
  <c r="A52" i="1"/>
  <c r="D52" i="1" s="1"/>
  <c r="A53" i="1"/>
  <c r="D53" i="1" s="1"/>
  <c r="A54" i="1"/>
  <c r="D54" i="1" s="1"/>
  <c r="A55" i="1"/>
  <c r="A56" i="1"/>
  <c r="D56" i="1" s="1"/>
  <c r="A58" i="1"/>
  <c r="A59" i="1"/>
  <c r="D59" i="1" s="1"/>
  <c r="F16" i="1"/>
  <c r="G16" i="1" s="1"/>
  <c r="F15" i="1"/>
  <c r="G15" i="1" s="1"/>
  <c r="F13" i="1"/>
  <c r="G13" i="1" s="1"/>
  <c r="F14" i="1"/>
  <c r="G14" i="1" s="1"/>
  <c r="B47" i="1" l="1"/>
  <c r="D47" i="1"/>
  <c r="B41" i="1"/>
  <c r="D41" i="1"/>
  <c r="B33" i="1"/>
  <c r="B55" i="1"/>
  <c r="D55" i="1"/>
  <c r="B58" i="1"/>
  <c r="D58" i="1"/>
  <c r="B28" i="1"/>
  <c r="D28" i="1"/>
  <c r="B27" i="1"/>
  <c r="D27" i="1"/>
  <c r="B32" i="1"/>
  <c r="B49" i="1"/>
  <c r="B45" i="1"/>
  <c r="B46" i="1"/>
  <c r="B59" i="1"/>
  <c r="B52" i="1"/>
  <c r="B43" i="1"/>
  <c r="B31" i="1"/>
  <c r="B30" i="1"/>
  <c r="B51" i="1"/>
  <c r="B37" i="1"/>
  <c r="B36" i="1"/>
  <c r="E61" i="1"/>
  <c r="G61" i="1" s="1"/>
  <c r="B65" i="1" s="1"/>
  <c r="A19" i="1"/>
  <c r="E32" i="1" s="1"/>
  <c r="E33" i="1"/>
  <c r="E45" i="1"/>
  <c r="B42" i="1"/>
  <c r="B35" i="1"/>
  <c r="B53" i="1"/>
  <c r="B39" i="1"/>
  <c r="E51" i="1"/>
  <c r="E50" i="1"/>
  <c r="B54" i="1"/>
  <c r="B40" i="1"/>
  <c r="B29" i="1"/>
  <c r="E42" i="1"/>
  <c r="B50" i="1"/>
  <c r="B56" i="1"/>
  <c r="E54" i="1"/>
  <c r="E56" i="1"/>
  <c r="E38" i="1"/>
  <c r="B34" i="1"/>
  <c r="B57" i="1"/>
  <c r="B26" i="1"/>
  <c r="B44" i="1"/>
  <c r="E44" i="1"/>
  <c r="E40" i="1"/>
  <c r="E36" i="1"/>
  <c r="E57" i="1"/>
  <c r="E59" i="1"/>
  <c r="E34" i="1"/>
  <c r="B38" i="1"/>
  <c r="B48" i="1"/>
  <c r="E43" i="1" l="1"/>
  <c r="E41" i="1"/>
  <c r="E28" i="1"/>
  <c r="E52" i="1"/>
  <c r="E31" i="1"/>
  <c r="E55" i="1"/>
  <c r="E39" i="1"/>
  <c r="E47" i="1"/>
  <c r="E58" i="1"/>
  <c r="E49" i="1"/>
  <c r="E53" i="1"/>
  <c r="E48" i="1"/>
  <c r="E37" i="1"/>
  <c r="E46" i="1"/>
  <c r="E26" i="1"/>
  <c r="E27" i="1"/>
  <c r="E29" i="1"/>
  <c r="E35" i="1"/>
  <c r="E30" i="1"/>
  <c r="B67" i="1"/>
  <c r="B66" i="1"/>
  <c r="A23" i="1" l="1"/>
</calcChain>
</file>

<file path=xl/sharedStrings.xml><?xml version="1.0" encoding="utf-8"?>
<sst xmlns="http://schemas.openxmlformats.org/spreadsheetml/2006/main" count="44" uniqueCount="35">
  <si>
    <t>Anzahl der getrunkenen Standardgläser</t>
  </si>
  <si>
    <t>Trinkdauer insgesamt [min.]</t>
  </si>
  <si>
    <t>Geschlecht</t>
  </si>
  <si>
    <t>Körpergewicht [kg]</t>
  </si>
  <si>
    <t>m</t>
  </si>
  <si>
    <t>w</t>
  </si>
  <si>
    <t>g Alkohol</t>
  </si>
  <si>
    <t>l Alkohol mit</t>
  </si>
  <si>
    <t>Vol.-% =</t>
  </si>
  <si>
    <t>Alkoholmenge eines Standardglases, die ins Blut geht [g]</t>
  </si>
  <si>
    <t>l Bier mit</t>
  </si>
  <si>
    <t>l Wein mit</t>
  </si>
  <si>
    <t>cl Schnaps</t>
  </si>
  <si>
    <t>Resorptionsdefizit (Anteil an der Alkoholmenge, der nicht ins Blut geht)</t>
  </si>
  <si>
    <t>Flüssigkeitsanteil am Körpergewicht</t>
  </si>
  <si>
    <t>Abbau der Blutalkoholkonzentration (BAK) pro Stunde [Promille]</t>
  </si>
  <si>
    <t>Blutalkoholkonzentration im Zeitpunkt der Kontrolle [Promille]</t>
  </si>
  <si>
    <t>Zeitraum zwischen Trink-Ende und Kontrolle der Blutalkoholkonzentration [min.]</t>
  </si>
  <si>
    <t>Zeitpunkt:
Glas ausge-
trunken</t>
  </si>
  <si>
    <t>Alkohol-Abbauzeit
[min.]</t>
  </si>
  <si>
    <t>Beitrag des Standard-
glases zur BAK im Zeit-
punkt der Kontrolle</t>
  </si>
  <si>
    <t>GetrunkenesStandard-glas Nr.</t>
  </si>
  <si>
    <t>Aufgenommene Alkoholmenge:</t>
  </si>
  <si>
    <t>g       =</t>
  </si>
  <si>
    <t>ml</t>
  </si>
  <si>
    <t>Das entspricht</t>
  </si>
  <si>
    <t>Vol.-%</t>
  </si>
  <si>
    <t>oder</t>
  </si>
  <si>
    <t>l Schnaps mit</t>
  </si>
  <si>
    <t>Standardglas enthält</t>
  </si>
  <si>
    <t>Normalgewicht [kg]</t>
  </si>
  <si>
    <t>Körpergröße [cm]</t>
  </si>
  <si>
    <t>BMI (errechnet)</t>
  </si>
  <si>
    <t>BMI bei Normalgewicht (Vorgabe)</t>
  </si>
  <si>
    <t>Anflutungszeit eines Standardglases [min.]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</si>
</sst>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4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9" fontId="0" fillId="0" borderId="0" xfId="0" applyNumberFormat="1"/>
    <xf numFmtId="9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/>
    </xf>
    <xf numFmtId="16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9</xdr:row>
          <xdr:rowOff>0</xdr:rowOff>
        </xdr:from>
        <xdr:to>
          <xdr:col>1</xdr:col>
          <xdr:colOff>9525</xdr:colOff>
          <xdr:row>10</xdr:row>
          <xdr:rowOff>47625</xdr:rowOff>
        </xdr:to>
        <xdr:sp macro="" textlink="">
          <xdr:nvSpPr>
            <xdr:cNvPr id="1053" name="ComboBox1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67"/>
  <sheetViews>
    <sheetView tabSelected="1" zoomScaleNormal="100" workbookViewId="0"/>
  </sheetViews>
  <sheetFormatPr baseColWidth="10" defaultRowHeight="12.75" x14ac:dyDescent="0.2"/>
  <cols>
    <col min="3" max="3" width="11.42578125" hidden="1" customWidth="1"/>
    <col min="4" max="4" width="12" customWidth="1"/>
  </cols>
  <sheetData>
    <row r="1" spans="1:7" x14ac:dyDescent="0.2">
      <c r="A1">
        <v>30</v>
      </c>
      <c r="B1" t="s">
        <v>0</v>
      </c>
    </row>
    <row r="2" spans="1:7" x14ac:dyDescent="0.2">
      <c r="A2">
        <v>120</v>
      </c>
      <c r="B2" t="s">
        <v>1</v>
      </c>
    </row>
    <row r="3" spans="1:7" x14ac:dyDescent="0.2">
      <c r="A3">
        <v>20</v>
      </c>
      <c r="B3" t="s">
        <v>17</v>
      </c>
    </row>
    <row r="4" spans="1:7" x14ac:dyDescent="0.2">
      <c r="A4">
        <v>60</v>
      </c>
      <c r="B4" t="s">
        <v>34</v>
      </c>
    </row>
    <row r="5" spans="1:7" x14ac:dyDescent="0.2">
      <c r="A5">
        <v>85</v>
      </c>
      <c r="B5" t="s">
        <v>3</v>
      </c>
    </row>
    <row r="6" spans="1:7" x14ac:dyDescent="0.2">
      <c r="A6">
        <v>180</v>
      </c>
      <c r="B6" t="s">
        <v>31</v>
      </c>
    </row>
    <row r="7" spans="1:7" x14ac:dyDescent="0.2">
      <c r="A7">
        <f>A5/(A6*0.01)^2</f>
        <v>26.234567901234566</v>
      </c>
      <c r="B7" t="s">
        <v>32</v>
      </c>
    </row>
    <row r="8" spans="1:7" x14ac:dyDescent="0.2">
      <c r="A8">
        <v>25</v>
      </c>
      <c r="B8" t="s">
        <v>33</v>
      </c>
    </row>
    <row r="9" spans="1:7" x14ac:dyDescent="0.2">
      <c r="A9">
        <f>IF(A7&lt;A8,A5,A8*(A6*0.01)^2)</f>
        <v>81</v>
      </c>
      <c r="B9" t="s">
        <v>30</v>
      </c>
    </row>
    <row r="10" spans="1:7" x14ac:dyDescent="0.2">
      <c r="A10" s="1" t="s">
        <v>4</v>
      </c>
      <c r="B10" s="2" t="s">
        <v>2</v>
      </c>
      <c r="C10" t="s">
        <v>4</v>
      </c>
    </row>
    <row r="11" spans="1:7" x14ac:dyDescent="0.2">
      <c r="C11" t="s">
        <v>5</v>
      </c>
    </row>
    <row r="12" spans="1:7" x14ac:dyDescent="0.2">
      <c r="A12">
        <v>1</v>
      </c>
      <c r="B12" t="s">
        <v>29</v>
      </c>
      <c r="E12">
        <v>10</v>
      </c>
      <c r="F12" t="s">
        <v>6</v>
      </c>
    </row>
    <row r="13" spans="1:7" x14ac:dyDescent="0.2">
      <c r="A13">
        <v>1</v>
      </c>
      <c r="B13" t="s">
        <v>7</v>
      </c>
      <c r="D13">
        <v>5</v>
      </c>
      <c r="E13" t="s">
        <v>8</v>
      </c>
      <c r="F13">
        <f>A13*1000*D13/100*0.8/$E$12</f>
        <v>4</v>
      </c>
      <c r="G13" t="str">
        <f>IF(F13=1,"Standardglas","Standardgläser")</f>
        <v>Standardgläser</v>
      </c>
    </row>
    <row r="14" spans="1:7" x14ac:dyDescent="0.2">
      <c r="A14">
        <v>0.25</v>
      </c>
      <c r="B14" t="s">
        <v>10</v>
      </c>
      <c r="D14">
        <v>5</v>
      </c>
      <c r="E14" t="s">
        <v>8</v>
      </c>
      <c r="F14">
        <f>A14*1000*D14/100*0.8/$E$12</f>
        <v>1</v>
      </c>
      <c r="G14" t="str">
        <f>IF(F14=1,"Standardglas","Standardgläser")</f>
        <v>Standardglas</v>
      </c>
    </row>
    <row r="15" spans="1:7" x14ac:dyDescent="0.2">
      <c r="A15">
        <v>0.25</v>
      </c>
      <c r="B15" t="s">
        <v>11</v>
      </c>
      <c r="D15">
        <v>15</v>
      </c>
      <c r="E15" t="s">
        <v>8</v>
      </c>
      <c r="F15">
        <f>A15*1000*D15/100*0.8/$E$12</f>
        <v>3</v>
      </c>
      <c r="G15" t="str">
        <f>IF(F15=1,"Standardglas","Standardgläser")</f>
        <v>Standardgläser</v>
      </c>
    </row>
    <row r="16" spans="1:7" x14ac:dyDescent="0.2">
      <c r="A16">
        <v>2</v>
      </c>
      <c r="B16" t="s">
        <v>12</v>
      </c>
      <c r="D16">
        <v>37.5</v>
      </c>
      <c r="E16" t="s">
        <v>8</v>
      </c>
      <c r="F16">
        <f>A16*10*D16/100*0.8/$E$12</f>
        <v>0.6</v>
      </c>
      <c r="G16" t="str">
        <f>IF(F16=1,"Standardglas","Standardgläser")</f>
        <v>Standardgläser</v>
      </c>
    </row>
    <row r="18" spans="1:6" x14ac:dyDescent="0.2">
      <c r="A18" s="3">
        <v>0.2</v>
      </c>
      <c r="B18" t="s">
        <v>13</v>
      </c>
    </row>
    <row r="19" spans="1:6" x14ac:dyDescent="0.2">
      <c r="A19">
        <f>E12/A12-E12/A12*A18</f>
        <v>8</v>
      </c>
      <c r="B19" t="s">
        <v>9</v>
      </c>
    </row>
    <row r="20" spans="1:6" x14ac:dyDescent="0.2">
      <c r="A20" s="4">
        <f>IF(A10="m",70%,60%)</f>
        <v>0.7</v>
      </c>
      <c r="B20" t="s">
        <v>14</v>
      </c>
    </row>
    <row r="21" spans="1:6" x14ac:dyDescent="0.2">
      <c r="A21">
        <v>0.15</v>
      </c>
      <c r="B21" t="s">
        <v>15</v>
      </c>
    </row>
    <row r="23" spans="1:6" x14ac:dyDescent="0.2">
      <c r="A23" s="9">
        <f>SUM(E26:E59)</f>
        <v>2.477336860670194</v>
      </c>
      <c r="B23" t="s">
        <v>16</v>
      </c>
    </row>
    <row r="25" spans="1:6" ht="38.25" x14ac:dyDescent="0.2">
      <c r="A25" s="6" t="s">
        <v>21</v>
      </c>
      <c r="B25" s="6" t="s">
        <v>18</v>
      </c>
      <c r="D25" s="6" t="s">
        <v>19</v>
      </c>
      <c r="E25" s="10" t="s">
        <v>20</v>
      </c>
      <c r="F25" s="11"/>
    </row>
    <row r="26" spans="1:6" x14ac:dyDescent="0.2">
      <c r="A26" s="5">
        <f>IF($A$1&gt;=1,1,"")</f>
        <v>1</v>
      </c>
      <c r="B26" s="5">
        <f>IF(A26&lt;=$A$1,$A$2/$A$1*A26,"")</f>
        <v>4</v>
      </c>
      <c r="D26" s="5">
        <f t="shared" ref="D26:D59" si="0">IF($A$1&gt;=A26,IF($A$2+$A$3-A26*$A$2/$A$1-$A$4&lt;0,0,$A$2+$A$3-A26*$A$2/$A$1-$A$4),"")</f>
        <v>76</v>
      </c>
      <c r="E26">
        <f t="shared" ref="E26:E59" si="1">IF($A$1&gt;=A26,IF($A$19/$A$9/$A$20-$A$21/60*D26&lt;0,0,$A$19/$A$9/$A$20-$A$21/60*D26),"")</f>
        <v>0</v>
      </c>
    </row>
    <row r="27" spans="1:6" x14ac:dyDescent="0.2">
      <c r="A27" s="5">
        <f>IF($A$1&gt;=2,2,"")</f>
        <v>2</v>
      </c>
      <c r="B27" s="5">
        <f t="shared" ref="B27:B56" si="2">IF(A27&lt;=$A$1,$A$2/$A$1*A27,"")</f>
        <v>8</v>
      </c>
      <c r="D27" s="5">
        <f t="shared" si="0"/>
        <v>72</v>
      </c>
      <c r="E27">
        <f t="shared" si="1"/>
        <v>0</v>
      </c>
    </row>
    <row r="28" spans="1:6" x14ac:dyDescent="0.2">
      <c r="A28" s="5">
        <f>IF($A$1&gt;=3,3,"")</f>
        <v>3</v>
      </c>
      <c r="B28" s="5">
        <f t="shared" si="2"/>
        <v>12</v>
      </c>
      <c r="D28" s="5">
        <f t="shared" si="0"/>
        <v>68</v>
      </c>
      <c r="E28">
        <f t="shared" si="1"/>
        <v>0</v>
      </c>
    </row>
    <row r="29" spans="1:6" x14ac:dyDescent="0.2">
      <c r="A29" s="5">
        <f>IF($A$1&gt;=4,4,"")</f>
        <v>4</v>
      </c>
      <c r="B29" s="5">
        <f t="shared" si="2"/>
        <v>16</v>
      </c>
      <c r="D29" s="5">
        <f t="shared" si="0"/>
        <v>64</v>
      </c>
      <c r="E29">
        <f t="shared" si="1"/>
        <v>0</v>
      </c>
    </row>
    <row r="30" spans="1:6" x14ac:dyDescent="0.2">
      <c r="A30" s="5">
        <f>IF($A$1&gt;=5,5,"")</f>
        <v>5</v>
      </c>
      <c r="B30" s="5">
        <f t="shared" si="2"/>
        <v>20</v>
      </c>
      <c r="D30" s="5">
        <f t="shared" si="0"/>
        <v>60</v>
      </c>
      <c r="E30">
        <f t="shared" si="1"/>
        <v>0</v>
      </c>
    </row>
    <row r="31" spans="1:6" x14ac:dyDescent="0.2">
      <c r="A31" s="5">
        <f>IF($A$1&gt;=6,6,"")</f>
        <v>6</v>
      </c>
      <c r="B31" s="5">
        <f t="shared" si="2"/>
        <v>24</v>
      </c>
      <c r="D31" s="5">
        <f t="shared" si="0"/>
        <v>56</v>
      </c>
      <c r="E31">
        <f t="shared" si="1"/>
        <v>1.093474426807739E-3</v>
      </c>
    </row>
    <row r="32" spans="1:6" x14ac:dyDescent="0.2">
      <c r="A32" s="5">
        <f>IF($A$1&gt;=7,7,"")</f>
        <v>7</v>
      </c>
      <c r="B32" s="5">
        <f t="shared" si="2"/>
        <v>28</v>
      </c>
      <c r="D32" s="5">
        <f t="shared" si="0"/>
        <v>52</v>
      </c>
      <c r="E32">
        <f t="shared" si="1"/>
        <v>1.1093474426807748E-2</v>
      </c>
    </row>
    <row r="33" spans="1:5" x14ac:dyDescent="0.2">
      <c r="A33" s="5">
        <f>IF($A$1&gt;=8,8,"")</f>
        <v>8</v>
      </c>
      <c r="B33" s="5">
        <f t="shared" si="2"/>
        <v>32</v>
      </c>
      <c r="D33" s="5">
        <f t="shared" si="0"/>
        <v>48</v>
      </c>
      <c r="E33">
        <f t="shared" si="1"/>
        <v>2.1093474426807757E-2</v>
      </c>
    </row>
    <row r="34" spans="1:5" x14ac:dyDescent="0.2">
      <c r="A34" s="5">
        <f>IF($A$1&gt;=9,9,"")</f>
        <v>9</v>
      </c>
      <c r="B34" s="5">
        <f t="shared" si="2"/>
        <v>36</v>
      </c>
      <c r="D34" s="5">
        <f t="shared" si="0"/>
        <v>44</v>
      </c>
      <c r="E34">
        <f t="shared" si="1"/>
        <v>3.1093474426807752E-2</v>
      </c>
    </row>
    <row r="35" spans="1:5" x14ac:dyDescent="0.2">
      <c r="A35" s="5">
        <f>IF($A$1&gt;=10,10,"")</f>
        <v>10</v>
      </c>
      <c r="B35" s="5">
        <f t="shared" si="2"/>
        <v>40</v>
      </c>
      <c r="D35" s="5">
        <f t="shared" si="0"/>
        <v>40</v>
      </c>
      <c r="E35">
        <f t="shared" si="1"/>
        <v>4.1093474426807747E-2</v>
      </c>
    </row>
    <row r="36" spans="1:5" x14ac:dyDescent="0.2">
      <c r="A36" s="5">
        <f>IF($A$1&gt;=11,11,"")</f>
        <v>11</v>
      </c>
      <c r="B36" s="5">
        <f t="shared" si="2"/>
        <v>44</v>
      </c>
      <c r="D36" s="5">
        <f t="shared" si="0"/>
        <v>36</v>
      </c>
      <c r="E36">
        <f t="shared" si="1"/>
        <v>5.1093474426807756E-2</v>
      </c>
    </row>
    <row r="37" spans="1:5" x14ac:dyDescent="0.2">
      <c r="A37" s="5">
        <f>IF($A$1&gt;=12,12,"")</f>
        <v>12</v>
      </c>
      <c r="B37" s="5">
        <f t="shared" si="2"/>
        <v>48</v>
      </c>
      <c r="D37" s="5">
        <f t="shared" si="0"/>
        <v>32</v>
      </c>
      <c r="E37">
        <f t="shared" si="1"/>
        <v>6.1093474426807751E-2</v>
      </c>
    </row>
    <row r="38" spans="1:5" x14ac:dyDescent="0.2">
      <c r="A38" s="5">
        <f>IF($A$1&gt;=13,13,"")</f>
        <v>13</v>
      </c>
      <c r="B38" s="5">
        <f t="shared" si="2"/>
        <v>52</v>
      </c>
      <c r="D38" s="5">
        <f t="shared" si="0"/>
        <v>28</v>
      </c>
      <c r="E38">
        <f t="shared" si="1"/>
        <v>7.1093474426807746E-2</v>
      </c>
    </row>
    <row r="39" spans="1:5" x14ac:dyDescent="0.2">
      <c r="A39" s="5">
        <f>IF($A$1&gt;=14,14,"")</f>
        <v>14</v>
      </c>
      <c r="B39" s="5">
        <f t="shared" si="2"/>
        <v>56</v>
      </c>
      <c r="D39" s="5">
        <f t="shared" si="0"/>
        <v>24</v>
      </c>
      <c r="E39">
        <f t="shared" si="1"/>
        <v>8.1093474426807755E-2</v>
      </c>
    </row>
    <row r="40" spans="1:5" x14ac:dyDescent="0.2">
      <c r="A40" s="5">
        <f>IF($A$1&gt;=15,15,"")</f>
        <v>15</v>
      </c>
      <c r="B40" s="5">
        <f t="shared" si="2"/>
        <v>60</v>
      </c>
      <c r="D40" s="5">
        <f t="shared" si="0"/>
        <v>20</v>
      </c>
      <c r="E40">
        <f t="shared" si="1"/>
        <v>9.109347442680775E-2</v>
      </c>
    </row>
    <row r="41" spans="1:5" x14ac:dyDescent="0.2">
      <c r="A41" s="5">
        <f>IF($A$1&gt;=16,16,"")</f>
        <v>16</v>
      </c>
      <c r="B41" s="5">
        <f t="shared" si="2"/>
        <v>64</v>
      </c>
      <c r="D41" s="5">
        <f t="shared" si="0"/>
        <v>16</v>
      </c>
      <c r="E41">
        <f t="shared" si="1"/>
        <v>0.10109347442680774</v>
      </c>
    </row>
    <row r="42" spans="1:5" x14ac:dyDescent="0.2">
      <c r="A42" s="5">
        <f>IF($A$1&gt;=17,17,"")</f>
        <v>17</v>
      </c>
      <c r="B42" s="5">
        <f t="shared" si="2"/>
        <v>68</v>
      </c>
      <c r="D42" s="5">
        <f t="shared" si="0"/>
        <v>12</v>
      </c>
      <c r="E42">
        <f t="shared" si="1"/>
        <v>0.11109347442680775</v>
      </c>
    </row>
    <row r="43" spans="1:5" x14ac:dyDescent="0.2">
      <c r="A43" s="5">
        <f>IF($A$1&gt;=18,18,"")</f>
        <v>18</v>
      </c>
      <c r="B43" s="5">
        <f t="shared" si="2"/>
        <v>72</v>
      </c>
      <c r="D43" s="5">
        <f t="shared" si="0"/>
        <v>8</v>
      </c>
      <c r="E43">
        <f t="shared" si="1"/>
        <v>0.12109347442680775</v>
      </c>
    </row>
    <row r="44" spans="1:5" x14ac:dyDescent="0.2">
      <c r="A44" s="5">
        <f>IF($A$1&gt;=19,19,"")</f>
        <v>19</v>
      </c>
      <c r="B44" s="5">
        <f t="shared" si="2"/>
        <v>76</v>
      </c>
      <c r="D44" s="5">
        <f t="shared" si="0"/>
        <v>4</v>
      </c>
      <c r="E44">
        <f t="shared" si="1"/>
        <v>0.13109347442680774</v>
      </c>
    </row>
    <row r="45" spans="1:5" x14ac:dyDescent="0.2">
      <c r="A45" s="5">
        <f>IF($A$1&gt;=20,20,"")</f>
        <v>20</v>
      </c>
      <c r="B45" s="5">
        <f t="shared" si="2"/>
        <v>80</v>
      </c>
      <c r="D45" s="5">
        <f t="shared" si="0"/>
        <v>0</v>
      </c>
      <c r="E45">
        <f t="shared" si="1"/>
        <v>0.14109347442680775</v>
      </c>
    </row>
    <row r="46" spans="1:5" x14ac:dyDescent="0.2">
      <c r="A46" s="5">
        <f>IF($A$1&gt;=21,21,"")</f>
        <v>21</v>
      </c>
      <c r="B46" s="5">
        <f t="shared" si="2"/>
        <v>84</v>
      </c>
      <c r="D46" s="5">
        <f t="shared" si="0"/>
        <v>0</v>
      </c>
      <c r="E46">
        <f t="shared" si="1"/>
        <v>0.14109347442680775</v>
      </c>
    </row>
    <row r="47" spans="1:5" x14ac:dyDescent="0.2">
      <c r="A47" s="5">
        <f>IF($A$1&gt;=22,22,"")</f>
        <v>22</v>
      </c>
      <c r="B47" s="5">
        <f t="shared" si="2"/>
        <v>88</v>
      </c>
      <c r="D47" s="5">
        <f t="shared" si="0"/>
        <v>0</v>
      </c>
      <c r="E47">
        <f t="shared" si="1"/>
        <v>0.14109347442680775</v>
      </c>
    </row>
    <row r="48" spans="1:5" x14ac:dyDescent="0.2">
      <c r="A48" s="5">
        <f>IF($A$1&gt;=23,23,"")</f>
        <v>23</v>
      </c>
      <c r="B48" s="5">
        <f t="shared" si="2"/>
        <v>92</v>
      </c>
      <c r="D48" s="5">
        <f t="shared" si="0"/>
        <v>0</v>
      </c>
      <c r="E48">
        <f t="shared" si="1"/>
        <v>0.14109347442680775</v>
      </c>
    </row>
    <row r="49" spans="1:8" x14ac:dyDescent="0.2">
      <c r="A49" s="5">
        <f>IF($A$1&gt;=24,24,"")</f>
        <v>24</v>
      </c>
      <c r="B49" s="5">
        <f t="shared" si="2"/>
        <v>96</v>
      </c>
      <c r="D49" s="5">
        <f t="shared" si="0"/>
        <v>0</v>
      </c>
      <c r="E49">
        <f t="shared" si="1"/>
        <v>0.14109347442680775</v>
      </c>
    </row>
    <row r="50" spans="1:8" x14ac:dyDescent="0.2">
      <c r="A50" s="5">
        <f>IF($A$1&gt;=25,25,"")</f>
        <v>25</v>
      </c>
      <c r="B50" s="5">
        <f t="shared" si="2"/>
        <v>100</v>
      </c>
      <c r="D50" s="5">
        <f t="shared" si="0"/>
        <v>0</v>
      </c>
      <c r="E50">
        <f t="shared" si="1"/>
        <v>0.14109347442680775</v>
      </c>
    </row>
    <row r="51" spans="1:8" x14ac:dyDescent="0.2">
      <c r="A51" s="5">
        <f>IF($A$1&gt;=26,26,"")</f>
        <v>26</v>
      </c>
      <c r="B51" s="5">
        <f t="shared" si="2"/>
        <v>104</v>
      </c>
      <c r="D51" s="5">
        <f t="shared" si="0"/>
        <v>0</v>
      </c>
      <c r="E51">
        <f t="shared" si="1"/>
        <v>0.14109347442680775</v>
      </c>
    </row>
    <row r="52" spans="1:8" x14ac:dyDescent="0.2">
      <c r="A52" s="5">
        <f>IF($A$1&gt;=27,27,"")</f>
        <v>27</v>
      </c>
      <c r="B52" s="5">
        <f t="shared" si="2"/>
        <v>108</v>
      </c>
      <c r="D52" s="5">
        <f t="shared" si="0"/>
        <v>0</v>
      </c>
      <c r="E52">
        <f t="shared" si="1"/>
        <v>0.14109347442680775</v>
      </c>
    </row>
    <row r="53" spans="1:8" x14ac:dyDescent="0.2">
      <c r="A53" s="5">
        <f>IF($A$1&gt;=28,28,"")</f>
        <v>28</v>
      </c>
      <c r="B53" s="5">
        <f t="shared" si="2"/>
        <v>112</v>
      </c>
      <c r="D53" s="5">
        <f t="shared" si="0"/>
        <v>0</v>
      </c>
      <c r="E53">
        <f t="shared" si="1"/>
        <v>0.14109347442680775</v>
      </c>
    </row>
    <row r="54" spans="1:8" x14ac:dyDescent="0.2">
      <c r="A54" s="5">
        <f>IF($A$1&gt;=29,29,"")</f>
        <v>29</v>
      </c>
      <c r="B54" s="5">
        <f t="shared" si="2"/>
        <v>116</v>
      </c>
      <c r="D54" s="5">
        <f t="shared" si="0"/>
        <v>0</v>
      </c>
      <c r="E54">
        <f t="shared" si="1"/>
        <v>0.14109347442680775</v>
      </c>
    </row>
    <row r="55" spans="1:8" x14ac:dyDescent="0.2">
      <c r="A55" s="5">
        <f>IF($A$1&gt;=30,30,"")</f>
        <v>30</v>
      </c>
      <c r="B55" s="5">
        <f t="shared" si="2"/>
        <v>120</v>
      </c>
      <c r="D55" s="5">
        <f t="shared" si="0"/>
        <v>0</v>
      </c>
      <c r="E55">
        <f t="shared" si="1"/>
        <v>0.14109347442680775</v>
      </c>
    </row>
    <row r="56" spans="1:8" x14ac:dyDescent="0.2">
      <c r="A56" s="5" t="str">
        <f>IF($A$1&gt;=31,31,"")</f>
        <v/>
      </c>
      <c r="B56" s="5" t="str">
        <f t="shared" si="2"/>
        <v/>
      </c>
      <c r="D56" s="5" t="str">
        <f t="shared" si="0"/>
        <v/>
      </c>
      <c r="E56" t="str">
        <f t="shared" si="1"/>
        <v/>
      </c>
    </row>
    <row r="57" spans="1:8" x14ac:dyDescent="0.2">
      <c r="A57" s="5" t="str">
        <f>IF($A$1&gt;=33,33,"")</f>
        <v/>
      </c>
      <c r="B57" s="5" t="str">
        <f>IF(A57&lt;=$A$1,$A$2/$A$1*A57,"")</f>
        <v/>
      </c>
      <c r="D57" s="5" t="str">
        <f t="shared" si="0"/>
        <v/>
      </c>
      <c r="E57" t="str">
        <f t="shared" si="1"/>
        <v/>
      </c>
    </row>
    <row r="58" spans="1:8" x14ac:dyDescent="0.2">
      <c r="A58" s="5" t="str">
        <f>IF($A$1&gt;=34,34,"")</f>
        <v/>
      </c>
      <c r="B58" s="5" t="str">
        <f>IF(A58&lt;=$A$1,$A$2/$A$1*A58,"")</f>
        <v/>
      </c>
      <c r="D58" s="5" t="str">
        <f t="shared" si="0"/>
        <v/>
      </c>
      <c r="E58" t="str">
        <f t="shared" si="1"/>
        <v/>
      </c>
    </row>
    <row r="59" spans="1:8" x14ac:dyDescent="0.2">
      <c r="A59" s="5" t="str">
        <f>IF($A$1&gt;=35,35,"")</f>
        <v/>
      </c>
      <c r="B59" s="5" t="str">
        <f>IF(A59&lt;=$A$1,$A$2/$A$1*A59,"")</f>
        <v/>
      </c>
      <c r="D59" s="5" t="str">
        <f t="shared" si="0"/>
        <v/>
      </c>
      <c r="E59" t="str">
        <f t="shared" si="1"/>
        <v/>
      </c>
    </row>
    <row r="61" spans="1:8" x14ac:dyDescent="0.2">
      <c r="A61" s="7" t="s">
        <v>22</v>
      </c>
      <c r="E61">
        <f>A1*E12</f>
        <v>300</v>
      </c>
      <c r="F61" s="7" t="s">
        <v>23</v>
      </c>
      <c r="G61">
        <f>E61*1.25</f>
        <v>375</v>
      </c>
      <c r="H61" s="7" t="s">
        <v>24</v>
      </c>
    </row>
    <row r="63" spans="1:8" x14ac:dyDescent="0.2">
      <c r="A63" s="7" t="s">
        <v>25</v>
      </c>
    </row>
    <row r="65" spans="1:6" x14ac:dyDescent="0.2">
      <c r="B65">
        <f>$G$61/E65*100/1000</f>
        <v>7.5</v>
      </c>
      <c r="D65" s="7" t="s">
        <v>10</v>
      </c>
      <c r="E65">
        <f>D14</f>
        <v>5</v>
      </c>
      <c r="F65" s="7" t="s">
        <v>26</v>
      </c>
    </row>
    <row r="66" spans="1:6" x14ac:dyDescent="0.2">
      <c r="A66" s="8" t="s">
        <v>27</v>
      </c>
      <c r="B66">
        <f>$G$61/E66*100/1000</f>
        <v>2.5</v>
      </c>
      <c r="D66" s="7" t="s">
        <v>11</v>
      </c>
      <c r="E66">
        <f>D15</f>
        <v>15</v>
      </c>
      <c r="F66" s="7" t="s">
        <v>26</v>
      </c>
    </row>
    <row r="67" spans="1:6" x14ac:dyDescent="0.2">
      <c r="A67" s="8" t="s">
        <v>27</v>
      </c>
      <c r="B67">
        <f>$G$61/E67*100/1000</f>
        <v>1</v>
      </c>
      <c r="D67" s="7" t="s">
        <v>28</v>
      </c>
      <c r="E67">
        <f>D16</f>
        <v>37.5</v>
      </c>
      <c r="F67" s="7" t="s">
        <v>26</v>
      </c>
    </row>
  </sheetData>
  <mergeCells count="1">
    <mergeCell ref="E25:F25"/>
  </mergeCells>
  <phoneticPr fontId="2" type="noConversion"/>
  <dataValidations count="1">
    <dataValidation type="whole" allowBlank="1" showInputMessage="1" showErrorMessage="1" error="Es werden nur ganze Gläser getrunken, aber nicht mehr als 35. Mehr kann die Tabelle nicht verarbeiten, der Körper auch nicht." sqref="A1" xr:uid="{00000000-0002-0000-0000-000000000000}">
      <formula1>0</formula1>
      <formula2>35</formula2>
    </dataValidation>
  </dataValidation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Header>&amp;C&amp;"Arial,Fett"&amp;12Promillerechner</oddHeader>
    <oddFooter>&amp;R&amp;6&amp;F</oddFooter>
  </headerFooter>
  <drawing r:id="rId2"/>
  <legacyDrawing r:id="rId3"/>
  <controls>
    <mc:AlternateContent xmlns:mc="http://schemas.openxmlformats.org/markup-compatibility/2006">
      <mc:Choice Requires="x14">
        <control shapeId="1053" r:id="rId4" name="ComboBox1">
          <controlPr defaultSize="0" autoLine="0" linkedCell="A10" listFillRange="C10:C11" r:id="rId5">
            <anchor moveWithCells="1">
              <from>
                <xdr:col>0</xdr:col>
                <xdr:colOff>276225</xdr:colOff>
                <xdr:row>9</xdr:row>
                <xdr:rowOff>0</xdr:rowOff>
              </from>
              <to>
                <xdr:col>1</xdr:col>
                <xdr:colOff>9525</xdr:colOff>
                <xdr:row>10</xdr:row>
                <xdr:rowOff>47625</xdr:rowOff>
              </to>
            </anchor>
          </controlPr>
        </control>
      </mc:Choice>
      <mc:Fallback>
        <control shapeId="1053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Base>http://www.klaus-gach.de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Alkoholkonsum und Blutalkoholkonzentration</dc:title>
  <dc:creator>Prof. Dr. Klaus Gach</dc:creator>
  <cp:lastModifiedBy>Prof. Dr. Klaus Gach</cp:lastModifiedBy>
  <cp:lastPrinted>2021-06-08T15:03:35Z</cp:lastPrinted>
  <dcterms:created xsi:type="dcterms:W3CDTF">2017-04-29T12:10:01Z</dcterms:created>
  <dcterms:modified xsi:type="dcterms:W3CDTF">2022-10-22T05:13:59Z</dcterms:modified>
  <cp:category>Promillerechner</cp:category>
</cp:coreProperties>
</file>