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120" yWindow="90" windowWidth="15135" windowHeight="9255" activeTab="0"/>
  </bookViews>
  <sheets>
    <sheet name="Tabelle1" sheetId="1" r:id="rId1"/>
    <sheet name="Grenzen" sheetId="2" r:id="rId2"/>
    <sheet name="Tabelle3" sheetId="3" r:id="rId3"/>
  </sheets>
  <definedNames/>
  <calcPr fullCalcOnLoad="1"/>
</workbook>
</file>

<file path=xl/comments1.xml><?xml version="1.0" encoding="utf-8"?>
<comments xmlns="http://schemas.openxmlformats.org/spreadsheetml/2006/main">
  <authors>
    <author>Prof. Dr. Klaus Gach</author>
  </authors>
  <commentList>
    <comment ref="D8" authorId="0">
      <text>
        <r>
          <rPr>
            <b/>
            <sz val="8"/>
            <rFont val="Tahoma"/>
            <family val="0"/>
          </rPr>
          <t>Prof. Dr. Klaus Gach:</t>
        </r>
        <r>
          <rPr>
            <sz val="8"/>
            <rFont val="Tahoma"/>
            <family val="0"/>
          </rPr>
          <t xml:space="preserve">
Es gilt das vollendete Datum; d.h. der 31.12. des Vorjahres, 24.00 Uhr.
Entsprechend wird davon ausgegangen, daß die Zinsen des Kauftages noch dem Verkäufer zufallen.</t>
        </r>
      </text>
    </comment>
    <comment ref="A32" authorId="0">
      <text>
        <r>
          <rPr>
            <b/>
            <sz val="8"/>
            <rFont val="Tahoma"/>
            <family val="0"/>
          </rPr>
          <t>Prof. Dr. Klaus Gach:</t>
        </r>
        <r>
          <rPr>
            <sz val="8"/>
            <rFont val="Tahoma"/>
            <family val="0"/>
          </rPr>
          <t xml:space="preserve">
Die Formeln sind bis auf die Zelle B32 kopierfähig, die letzte Zeile kann nach trotzdem nach unten kopiert werden. Es muß dann aber für jeden hinzugefügten Zinstermin in der Funktion EDATUM die Anzahl der Monate nach dem Semikolon um jeweils 12 erhöht werden.
Nach der letzten Zeile muß eine Leerzeile folgen oder zumindest die Spalte B leer bleiben. Sonst funktionieren die Formeln in Spalte J nicht mehr richtig.
Die Formel in J2 ist anzupassen.
Damit die Verweise funktionieren, ist gegebenenfalls die Tabelle "Grenzen" zu erweitern. In dieser Tabelle wird die Anzahl der Tage ermittelt, in die ein Zinstermin fällt, um festzustellen, ob es sich um ein Schaltjahr handelt oder nicht.</t>
        </r>
      </text>
    </comment>
    <comment ref="A7" authorId="0">
      <text>
        <r>
          <rPr>
            <b/>
            <sz val="8"/>
            <rFont val="Tahoma"/>
            <family val="0"/>
          </rPr>
          <t>Prof. Dr. Klaus Gach:</t>
        </r>
        <r>
          <rPr>
            <sz val="8"/>
            <rFont val="Tahoma"/>
            <family val="0"/>
          </rPr>
          <t xml:space="preserve">
Die Zahl der Zinstermine kann maximal 25 betragen.</t>
        </r>
      </text>
    </comment>
    <comment ref="B1" authorId="0">
      <text>
        <r>
          <rPr>
            <b/>
            <sz val="8"/>
            <rFont val="Tahoma"/>
            <family val="0"/>
          </rPr>
          <t>Prof. Dr. Klaus Gach:</t>
        </r>
        <r>
          <rPr>
            <sz val="8"/>
            <rFont val="Tahoma"/>
            <family val="0"/>
          </rPr>
          <t xml:space="preserve">
Die blau eingefärbten Felder erfordern die Eingabe von Daten.</t>
        </r>
      </text>
    </comment>
    <comment ref="B3" authorId="0">
      <text>
        <r>
          <rPr>
            <b/>
            <sz val="8"/>
            <rFont val="Tahoma"/>
            <family val="0"/>
          </rPr>
          <t>Prof. Dr. Klaus Gach:</t>
        </r>
        <r>
          <rPr>
            <sz val="8"/>
            <rFont val="Tahoma"/>
            <family val="0"/>
          </rPr>
          <t xml:space="preserve">
Es wird unterstellt, daß die Anleihe am Ende der Laufzeit zum Nominalwert zurückgezahlt wird.</t>
        </r>
      </text>
    </comment>
    <comment ref="B6" authorId="0">
      <text>
        <r>
          <rPr>
            <b/>
            <sz val="8"/>
            <rFont val="Tahoma"/>
            <family val="0"/>
          </rPr>
          <t>Prof. Dr. Klaus Gach:</t>
        </r>
        <r>
          <rPr>
            <sz val="8"/>
            <rFont val="Tahoma"/>
            <family val="0"/>
          </rPr>
          <t xml:space="preserve">
Es wird unterstellt, daß der Rückzahlungstermin zugleich der letzte Zinstermin ist.</t>
        </r>
      </text>
    </comment>
    <comment ref="B5" authorId="0">
      <text>
        <r>
          <rPr>
            <b/>
            <sz val="8"/>
            <rFont val="Tahoma"/>
            <family val="0"/>
          </rPr>
          <t>Prof. Dr. Klaus Gach:</t>
        </r>
        <r>
          <rPr>
            <sz val="8"/>
            <rFont val="Tahoma"/>
            <family val="0"/>
          </rPr>
          <t xml:space="preserve">
Es wird unterstellt, daß die Zinszahlungen jährlich erfolgen.</t>
        </r>
      </text>
    </comment>
    <comment ref="G8" authorId="0">
      <text>
        <r>
          <rPr>
            <b/>
            <sz val="8"/>
            <rFont val="Tahoma"/>
            <family val="0"/>
          </rPr>
          <t>Prof. Dr. Klaus Gach:</t>
        </r>
        <r>
          <rPr>
            <sz val="8"/>
            <rFont val="Tahoma"/>
            <family val="0"/>
          </rPr>
          <t xml:space="preserve">
Ein Tag des Zinszeitraums, der in ein Schaltjahr fällt, wird mit 1/366 Jahr angesetzt, ein Tag, der in ein Normaljahr fällt, mit 1/365 Jahr.
Man könnte hier auch die Funktion BRTEILJAHRE verwenden. Diese rechnet aber beim Übergang von Normaljahren und Schaltjahren fehlerhaft (jedenfalls in Excel 97).  Vergleichen Sie die Ergebnisse dieser Funktion mit den Daten in meiner Datei datum01.mcd oder datum01.pdf.</t>
        </r>
      </text>
    </comment>
  </commentList>
</comments>
</file>

<file path=xl/sharedStrings.xml><?xml version="1.0" encoding="utf-8"?>
<sst xmlns="http://schemas.openxmlformats.org/spreadsheetml/2006/main" count="19" uniqueCount="19">
  <si>
    <t>Kurswert:</t>
  </si>
  <si>
    <t>Nominalzins:</t>
  </si>
  <si>
    <t>Kaufdatum:</t>
  </si>
  <si>
    <t>Lfd. Nr. Zinstermin</t>
  </si>
  <si>
    <t>Anzahl der Tage im Jahr des Zinstermins</t>
  </si>
  <si>
    <t>Zeitraum seit Kaufdatum in Tagen</t>
  </si>
  <si>
    <t>Zeitraum seit Kaufdatum in Jahren</t>
  </si>
  <si>
    <t>Beginn des Jahres, in welches der Zinstermin fällt</t>
  </si>
  <si>
    <t>Ende des Jahres, in welches der Zinstermin fällt</t>
  </si>
  <si>
    <t>Stückzinsen</t>
  </si>
  <si>
    <t>Nominalwert:</t>
  </si>
  <si>
    <t>Zinstermine für den Käufer</t>
  </si>
  <si>
    <t>Investition</t>
  </si>
  <si>
    <t>Rückflüsse</t>
  </si>
  <si>
    <t>Effektivzins:</t>
  </si>
  <si>
    <t>Barwert der Rückflüsse</t>
  </si>
  <si>
    <t>Kapitalwert:</t>
  </si>
  <si>
    <t>Rückzahlungstermin:</t>
  </si>
  <si>
    <t>Nächster Zinstermin:</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</si>
</sst>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
    <numFmt numFmtId="173" formatCode="0.0000%"/>
    <numFmt numFmtId="174" formatCode="0.0"/>
    <numFmt numFmtId="175" formatCode="dd/mm/yy"/>
    <numFmt numFmtId="176" formatCode="_-* #,##0.0\ _D_M_-;\-* #,##0.0\ _D_M_-;_-* &quot;-&quot;??\ _D_M_-;_-@_-"/>
    <numFmt numFmtId="177" formatCode="_-* #,##0\ _D_M_-;\-* #,##0\ _D_M_-;_-* &quot;-&quot;??\ _D_M_-;_-@_-"/>
    <numFmt numFmtId="178" formatCode="0.0%"/>
    <numFmt numFmtId="179" formatCode="0.00000%"/>
    <numFmt numFmtId="180" formatCode="0.000000%"/>
  </numFmts>
  <fonts count="6">
    <font>
      <sz val="10"/>
      <name val="Arial"/>
      <family val="0"/>
    </font>
    <font>
      <sz val="10"/>
      <color indexed="48"/>
      <name val="Arial"/>
      <family val="2"/>
    </font>
    <font>
      <sz val="8"/>
      <name val="Tahoma"/>
      <family val="0"/>
    </font>
    <font>
      <b/>
      <sz val="8"/>
      <name val="Tahoma"/>
      <family val="0"/>
    </font>
    <font>
      <b/>
      <sz val="10"/>
      <name val="Arial"/>
      <family val="2"/>
    </font>
    <font>
      <b/>
      <sz val="8"/>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9">
    <xf numFmtId="0" fontId="0" fillId="0" borderId="0" xfId="0" applyAlignment="1">
      <alignment/>
    </xf>
    <xf numFmtId="14" fontId="0" fillId="0" borderId="0" xfId="0" applyNumberFormat="1" applyAlignment="1">
      <alignment/>
    </xf>
    <xf numFmtId="0" fontId="0" fillId="0" borderId="0" xfId="0" applyAlignment="1">
      <alignment wrapText="1"/>
    </xf>
    <xf numFmtId="2" fontId="1" fillId="0" borderId="0" xfId="0" applyNumberFormat="1" applyFont="1" applyAlignment="1">
      <alignment/>
    </xf>
    <xf numFmtId="172" fontId="1" fillId="0" borderId="0" xfId="0" applyNumberFormat="1" applyFont="1" applyAlignment="1">
      <alignment/>
    </xf>
    <xf numFmtId="14" fontId="1" fillId="0" borderId="0" xfId="0" applyNumberFormat="1" applyFont="1" applyAlignment="1">
      <alignment/>
    </xf>
    <xf numFmtId="177" fontId="0" fillId="0" borderId="0" xfId="15" applyNumberFormat="1" applyAlignment="1">
      <alignment/>
    </xf>
    <xf numFmtId="172" fontId="4" fillId="0" borderId="0" xfId="17" applyNumberFormat="1" applyFont="1" applyAlignment="1">
      <alignment/>
    </xf>
    <xf numFmtId="4" fontId="0" fillId="0" borderId="0" xfId="0" applyNumberFormat="1" applyAlignment="1">
      <alignment/>
    </xf>
  </cellXfs>
  <cellStyles count="6">
    <cellStyle name="Normal" xfId="0"/>
    <cellStyle name="Comma" xfId="15"/>
    <cellStyle name="Comma [0]" xfId="16"/>
    <cellStyle name="Percent" xfId="17"/>
    <cellStyle name="Currency" xfId="18"/>
    <cellStyle name="Currency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0</xdr:colOff>
      <xdr:row>1</xdr:row>
      <xdr:rowOff>9525</xdr:rowOff>
    </xdr:from>
    <xdr:to>
      <xdr:col>6</xdr:col>
      <xdr:colOff>0</xdr:colOff>
      <xdr:row>3</xdr:row>
      <xdr:rowOff>0</xdr:rowOff>
    </xdr:to>
    <xdr:pic>
      <xdr:nvPicPr>
        <xdr:cNvPr id="1" name="CommandButton1"/>
        <xdr:cNvPicPr preferRelativeResize="1">
          <a:picLocks noChangeAspect="1"/>
        </xdr:cNvPicPr>
      </xdr:nvPicPr>
      <xdr:blipFill>
        <a:blip r:embed="rId1"/>
        <a:stretch>
          <a:fillRect/>
        </a:stretch>
      </xdr:blipFill>
      <xdr:spPr>
        <a:xfrm>
          <a:off x="3495675" y="171450"/>
          <a:ext cx="1524000" cy="314325"/>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Tabelle1"/>
  <dimension ref="A1:M32"/>
  <sheetViews>
    <sheetView tabSelected="1" workbookViewId="0" topLeftCell="A1">
      <selection activeCell="B1" sqref="B1"/>
    </sheetView>
  </sheetViews>
  <sheetFormatPr defaultColWidth="11.421875" defaultRowHeight="12.75"/>
  <cols>
    <col min="1" max="1" width="18.140625" style="0" customWidth="1"/>
  </cols>
  <sheetData>
    <row r="1" spans="1:10" ht="12.75">
      <c r="A1" t="s">
        <v>0</v>
      </c>
      <c r="B1" s="3">
        <v>100</v>
      </c>
      <c r="I1" t="s">
        <v>14</v>
      </c>
      <c r="J1" s="7">
        <v>0.03999977270579992</v>
      </c>
    </row>
    <row r="2" spans="1:10" ht="12.75">
      <c r="A2" t="s">
        <v>1</v>
      </c>
      <c r="B2" s="4">
        <v>0.04</v>
      </c>
      <c r="I2" t="s">
        <v>16</v>
      </c>
      <c r="J2">
        <f>SUM(K8:K32)-I8</f>
        <v>3.4263063071193756E-05</v>
      </c>
    </row>
    <row r="3" spans="1:2" ht="12.75">
      <c r="A3" t="s">
        <v>10</v>
      </c>
      <c r="B3" s="3">
        <v>100</v>
      </c>
    </row>
    <row r="4" spans="1:5" ht="12.75">
      <c r="A4" t="s">
        <v>2</v>
      </c>
      <c r="B4" s="5">
        <v>39083</v>
      </c>
      <c r="D4" s="1"/>
      <c r="E4" s="1"/>
    </row>
    <row r="5" spans="1:5" ht="12.75">
      <c r="A5" t="s">
        <v>18</v>
      </c>
      <c r="B5" s="5">
        <v>39448</v>
      </c>
      <c r="D5" s="1"/>
      <c r="E5" s="1"/>
    </row>
    <row r="6" spans="1:2" ht="12.75">
      <c r="A6" t="s">
        <v>17</v>
      </c>
      <c r="B6" s="5">
        <v>40179</v>
      </c>
    </row>
    <row r="7" spans="1:11" ht="76.5">
      <c r="A7" t="s">
        <v>3</v>
      </c>
      <c r="B7" s="2" t="s">
        <v>11</v>
      </c>
      <c r="C7" s="2" t="s">
        <v>5</v>
      </c>
      <c r="D7" s="2" t="s">
        <v>7</v>
      </c>
      <c r="E7" s="2" t="s">
        <v>8</v>
      </c>
      <c r="F7" s="2" t="s">
        <v>4</v>
      </c>
      <c r="G7" s="2" t="s">
        <v>6</v>
      </c>
      <c r="H7" t="s">
        <v>9</v>
      </c>
      <c r="I7" s="2" t="s">
        <v>12</v>
      </c>
      <c r="J7" t="s">
        <v>13</v>
      </c>
      <c r="K7" s="2" t="s">
        <v>15</v>
      </c>
    </row>
    <row r="8" spans="1:11" ht="12.75">
      <c r="A8" s="6">
        <f>IF(B8="","",1)</f>
        <v>1</v>
      </c>
      <c r="B8" s="1">
        <f>B5</f>
        <v>39448</v>
      </c>
      <c r="C8">
        <f>IF(B8&gt;0,B8-$B$4,"")</f>
        <v>365</v>
      </c>
      <c r="D8" s="1">
        <f>IF(B8="","",VLOOKUP(B8,Grenzen!$A$1:$C$33,2))</f>
        <v>39447</v>
      </c>
      <c r="E8" s="1">
        <f>IF(B8="","",VLOOKUP(B8,Grenzen!$A$1:$C$33,3))</f>
        <v>39813</v>
      </c>
      <c r="F8">
        <f aca="true" t="shared" si="0" ref="F8:F13">IF(B8="","",E8-D8)</f>
        <v>366</v>
      </c>
      <c r="G8">
        <f>(VLOOKUP(B4,Grenzen!A1:C33,3)-B4)/(VLOOKUP(B4,Grenzen!A1:C33,3)-VLOOKUP(B4,Grenzen!A1:C33,2))+(B8-VLOOKUP(B4,Grenzen!A1:C33,3))/F8</f>
        <v>0.9999925144097612</v>
      </c>
      <c r="H8" s="8">
        <f>B2*B3*(1-G8)</f>
        <v>2.9942360955104164E-05</v>
      </c>
      <c r="I8" s="8">
        <f>B1+H8</f>
        <v>100.00002994236095</v>
      </c>
      <c r="J8" s="8">
        <f>IF(B8="","",IF(B8&lt;$B$6,$B$2*$B$3,IF(B8=$B$6,$B$2*$B$3+$B$3,"")))</f>
        <v>4</v>
      </c>
      <c r="K8">
        <f>IF(B8="","",J8/(1+$J$1)^G8)</f>
        <v>3.846155815926239</v>
      </c>
    </row>
    <row r="9" spans="1:13" ht="12.75">
      <c r="A9" s="6">
        <f>IF(B9="","",2)</f>
        <v>2</v>
      </c>
      <c r="B9" s="1">
        <f>IF(_XLL.EDATUM($B$5,12)&lt;=$B$6,_XLL.EDATUM($B$5,12),"")</f>
        <v>39814</v>
      </c>
      <c r="C9">
        <f>IF(B9="","",B9-$B$4)</f>
        <v>731</v>
      </c>
      <c r="D9" s="1">
        <f>IF(B9="","",VLOOKUP(B9,Grenzen!$A$1:$C$33,2))</f>
        <v>39813</v>
      </c>
      <c r="E9" s="1">
        <f>IF(B9="","",VLOOKUP(B9,Grenzen!$A$1:$C$33,3))</f>
        <v>40178</v>
      </c>
      <c r="F9">
        <f t="shared" si="0"/>
        <v>365</v>
      </c>
      <c r="G9">
        <f>IF(B9="","",(D9-B8)/F8+(B9-D9)/F9+G8)</f>
        <v>2</v>
      </c>
      <c r="J9" s="8">
        <f aca="true" t="shared" si="1" ref="J9:J32">IF(B9="","",IF(B9&lt;$B$6,$B$2*$B$3,IF(B9=$B$6,$B$2*$B$3+$B$3,"")))</f>
        <v>4</v>
      </c>
      <c r="K9">
        <f aca="true" t="shared" si="2" ref="K9:K32">IF(B9="","",J9/(1+$J$1)^G9)</f>
        <v>3.6982264685812662</v>
      </c>
      <c r="M9" s="1"/>
    </row>
    <row r="10" spans="1:13" ht="12.75">
      <c r="A10" s="6">
        <f>IF(B10="","",3)</f>
        <v>3</v>
      </c>
      <c r="B10" s="1">
        <f>IF(_XLL.EDATUM($B$5,24)&lt;=$B$6,_XLL.EDATUM($B$5,24),"")</f>
        <v>40179</v>
      </c>
      <c r="C10">
        <f>IF(B10="","",B10-$B$4)</f>
        <v>1096</v>
      </c>
      <c r="D10" s="1">
        <f>IF(B10="","",VLOOKUP(B10,Grenzen!$A$1:$C$33,2))</f>
        <v>40178</v>
      </c>
      <c r="E10" s="1">
        <f>IF(B10="","",VLOOKUP(B10,Grenzen!$A$1:$C$33,3))</f>
        <v>40543</v>
      </c>
      <c r="F10">
        <f t="shared" si="0"/>
        <v>365</v>
      </c>
      <c r="G10">
        <f>IF(B10="","",(D10-B9)/F9+(B10-D10)/F10+G9)</f>
        <v>3</v>
      </c>
      <c r="J10" s="8">
        <f t="shared" si="1"/>
        <v>104</v>
      </c>
      <c r="K10">
        <f t="shared" si="2"/>
        <v>92.45568192091652</v>
      </c>
      <c r="M10" s="1"/>
    </row>
    <row r="11" spans="1:13" ht="12.75">
      <c r="A11" s="6">
        <f>IF(B11="","",4)</f>
      </c>
      <c r="B11" s="1">
        <f>IF(_XLL.EDATUM($B$5,36)&lt;=$B$6,_XLL.EDATUM($B$5,36),"")</f>
      </c>
      <c r="C11">
        <f>IF(B11="","",B11-$B$4)</f>
      </c>
      <c r="D11" s="1">
        <f>IF(B11="","",VLOOKUP(B11,Grenzen!$A$1:$C$33,2))</f>
      </c>
      <c r="E11" s="1">
        <f>IF(B11="","",VLOOKUP(B11,Grenzen!$A$1:$C$33,3))</f>
      </c>
      <c r="F11">
        <f t="shared" si="0"/>
      </c>
      <c r="G11">
        <f>IF(B11="","",(D11-B10)/F10+(B11-D11)/F11+G10)</f>
      </c>
      <c r="J11" s="8">
        <f t="shared" si="1"/>
      </c>
      <c r="K11">
        <f t="shared" si="2"/>
      </c>
      <c r="M11" s="1"/>
    </row>
    <row r="12" spans="1:13" ht="12.75">
      <c r="A12" s="6">
        <f>IF(B12="","",5)</f>
      </c>
      <c r="B12" s="1">
        <f>IF(_XLL.EDATUM($B$5,48)&lt;=$B$6,_XLL.EDATUM($B$5,48),"")</f>
      </c>
      <c r="C12">
        <f>IF(B12="","",B12-$B$4)</f>
      </c>
      <c r="D12" s="1">
        <f>IF(B12="","",VLOOKUP(B12,Grenzen!$A$1:$C$33,2))</f>
      </c>
      <c r="E12" s="1">
        <f>IF(B12="","",VLOOKUP(B12,Grenzen!$A$1:$C$33,3))</f>
      </c>
      <c r="F12">
        <f t="shared" si="0"/>
      </c>
      <c r="G12">
        <f>IF(B12="","",(D12-B11)/F11+(B12-D12)/F12+G11)</f>
      </c>
      <c r="J12" s="8">
        <f t="shared" si="1"/>
      </c>
      <c r="K12">
        <f t="shared" si="2"/>
      </c>
      <c r="M12" s="1"/>
    </row>
    <row r="13" spans="1:11" ht="12.75">
      <c r="A13" s="6">
        <f>IF(B13="","",6)</f>
      </c>
      <c r="B13" s="1">
        <f>IF(_XLL.EDATUM($B$5,60)&lt;=$B$6,_XLL.EDATUM($B$5,60),"")</f>
      </c>
      <c r="C13">
        <f>IF(B13="","",B13-$B$4)</f>
      </c>
      <c r="D13" s="1">
        <f>IF(B13="","",VLOOKUP(B13,Grenzen!$A$1:$C$33,2))</f>
      </c>
      <c r="E13" s="1">
        <f>IF(B13="","",VLOOKUP(B13,Grenzen!$A$1:$C$33,3))</f>
      </c>
      <c r="F13">
        <f t="shared" si="0"/>
      </c>
      <c r="G13">
        <f>IF(B13="","",(D13-B12)/F12+(B13-D13)/F13+G12)</f>
      </c>
      <c r="J13" s="8">
        <f t="shared" si="1"/>
      </c>
      <c r="K13">
        <f t="shared" si="2"/>
      </c>
    </row>
    <row r="14" spans="1:11" ht="12.75">
      <c r="A14" s="6">
        <f>IF(B14="","",7)</f>
      </c>
      <c r="B14" s="1">
        <f>IF(_XLL.EDATUM($B$5,72)&lt;=$B$6,_XLL.EDATUM($B$5,72),"")</f>
      </c>
      <c r="C14">
        <f aca="true" t="shared" si="3" ref="C14:C32">IF(B14="","",B14-$B$4)</f>
      </c>
      <c r="D14" s="1">
        <f>IF(B14="","",VLOOKUP(B14,Grenzen!$A$1:$C$33,2))</f>
      </c>
      <c r="E14" s="1">
        <f>IF(B14="","",VLOOKUP(B14,Grenzen!$A$1:$C$33,3))</f>
      </c>
      <c r="F14">
        <f aca="true" t="shared" si="4" ref="F14:F32">IF(B14="","",E14-D14)</f>
      </c>
      <c r="G14">
        <f aca="true" t="shared" si="5" ref="G14:G32">IF(B14="","",(D14-B13)/F13+(B14-D14)/F14+G13)</f>
      </c>
      <c r="J14" s="8">
        <f t="shared" si="1"/>
      </c>
      <c r="K14">
        <f t="shared" si="2"/>
      </c>
    </row>
    <row r="15" spans="1:11" ht="12.75">
      <c r="A15" s="6">
        <f>IF(B15="","",8)</f>
      </c>
      <c r="B15" s="1">
        <f>IF(_XLL.EDATUM($B$5,84)&lt;=$B$6,_XLL.EDATUM($B$5,84),"")</f>
      </c>
      <c r="C15">
        <f t="shared" si="3"/>
      </c>
      <c r="D15" s="1">
        <f>IF(B15="","",VLOOKUP(B15,Grenzen!$A$1:$C$33,2))</f>
      </c>
      <c r="E15" s="1">
        <f>IF(B15="","",VLOOKUP(B15,Grenzen!$A$1:$C$33,3))</f>
      </c>
      <c r="F15">
        <f t="shared" si="4"/>
      </c>
      <c r="G15">
        <f t="shared" si="5"/>
      </c>
      <c r="J15" s="8">
        <f t="shared" si="1"/>
      </c>
      <c r="K15">
        <f t="shared" si="2"/>
      </c>
    </row>
    <row r="16" spans="1:11" ht="12.75">
      <c r="A16" s="6">
        <f>IF(B16="","",9)</f>
      </c>
      <c r="B16" s="1">
        <f>IF(_XLL.EDATUM($B$5,96)&lt;=$B$6,_XLL.EDATUM($B$5,96),"")</f>
      </c>
      <c r="C16">
        <f t="shared" si="3"/>
      </c>
      <c r="D16" s="1">
        <f>IF(B16="","",VLOOKUP(B16,Grenzen!$A$1:$C$33,2))</f>
      </c>
      <c r="E16" s="1">
        <f>IF(B16="","",VLOOKUP(B16,Grenzen!$A$1:$C$33,3))</f>
      </c>
      <c r="F16">
        <f t="shared" si="4"/>
      </c>
      <c r="G16">
        <f t="shared" si="5"/>
      </c>
      <c r="J16" s="8">
        <f t="shared" si="1"/>
      </c>
      <c r="K16">
        <f t="shared" si="2"/>
      </c>
    </row>
    <row r="17" spans="1:11" ht="12.75">
      <c r="A17" s="6">
        <f>IF(B17="","",10)</f>
      </c>
      <c r="B17" s="1">
        <f>IF(_XLL.EDATUM($B$5,108)&lt;=$B$6,_XLL.EDATUM($B$5,108),"")</f>
      </c>
      <c r="C17">
        <f t="shared" si="3"/>
      </c>
      <c r="D17" s="1">
        <f>IF(B17="","",VLOOKUP(B17,Grenzen!$A$1:$C$33,2))</f>
      </c>
      <c r="E17" s="1">
        <f>IF(B17="","",VLOOKUP(B17,Grenzen!$A$1:$C$33,3))</f>
      </c>
      <c r="F17">
        <f t="shared" si="4"/>
      </c>
      <c r="G17">
        <f t="shared" si="5"/>
      </c>
      <c r="J17" s="8">
        <f t="shared" si="1"/>
      </c>
      <c r="K17">
        <f t="shared" si="2"/>
      </c>
    </row>
    <row r="18" spans="1:11" ht="12.75">
      <c r="A18" s="6">
        <f>IF(B18="","",11)</f>
      </c>
      <c r="B18" s="1">
        <f>IF(_XLL.EDATUM($B$5,120)&lt;=$B$6,_XLL.EDATUM($B$5,120),"")</f>
      </c>
      <c r="C18">
        <f t="shared" si="3"/>
      </c>
      <c r="D18" s="1">
        <f>IF(B18="","",VLOOKUP(B18,Grenzen!$A$1:$C$33,2))</f>
      </c>
      <c r="E18" s="1">
        <f>IF(B18="","",VLOOKUP(B18,Grenzen!$A$1:$C$33,3))</f>
      </c>
      <c r="F18">
        <f t="shared" si="4"/>
      </c>
      <c r="G18">
        <f t="shared" si="5"/>
      </c>
      <c r="J18" s="8">
        <f t="shared" si="1"/>
      </c>
      <c r="K18">
        <f t="shared" si="2"/>
      </c>
    </row>
    <row r="19" spans="1:11" ht="12.75">
      <c r="A19" s="6">
        <f>IF(B19="","",12)</f>
      </c>
      <c r="B19" s="1">
        <f>IF(_XLL.EDATUM($B$5,132)&lt;=$B$6,_XLL.EDATUM($B$5,132),"")</f>
      </c>
      <c r="C19">
        <f t="shared" si="3"/>
      </c>
      <c r="D19" s="1">
        <f>IF(B19="","",VLOOKUP(B19,Grenzen!$A$1:$C$33,2))</f>
      </c>
      <c r="E19" s="1">
        <f>IF(B19="","",VLOOKUP(B19,Grenzen!$A$1:$C$33,3))</f>
      </c>
      <c r="F19">
        <f t="shared" si="4"/>
      </c>
      <c r="G19">
        <f t="shared" si="5"/>
      </c>
      <c r="J19" s="8">
        <f t="shared" si="1"/>
      </c>
      <c r="K19">
        <f t="shared" si="2"/>
      </c>
    </row>
    <row r="20" spans="1:11" ht="12.75">
      <c r="A20" s="6">
        <f>IF(B20="","",13)</f>
      </c>
      <c r="B20" s="1">
        <f>IF(_XLL.EDATUM($B$5,144)&lt;=$B$6,_XLL.EDATUM($B$5,144),"")</f>
      </c>
      <c r="C20">
        <f t="shared" si="3"/>
      </c>
      <c r="D20" s="1">
        <f>IF(B20="","",VLOOKUP(B20,Grenzen!$A$1:$C$33,2))</f>
      </c>
      <c r="E20" s="1">
        <f>IF(B20="","",VLOOKUP(B20,Grenzen!$A$1:$C$33,3))</f>
      </c>
      <c r="F20">
        <f t="shared" si="4"/>
      </c>
      <c r="G20">
        <f t="shared" si="5"/>
      </c>
      <c r="J20" s="8">
        <f t="shared" si="1"/>
      </c>
      <c r="K20">
        <f t="shared" si="2"/>
      </c>
    </row>
    <row r="21" spans="1:11" ht="12.75">
      <c r="A21" s="6">
        <f>IF(B21="","",14)</f>
      </c>
      <c r="B21" s="1">
        <f>IF(_XLL.EDATUM($B$5,156)&lt;=$B$6,_XLL.EDATUM($B$5,156),"")</f>
      </c>
      <c r="C21">
        <f t="shared" si="3"/>
      </c>
      <c r="D21" s="1">
        <f>IF(B21="","",VLOOKUP(B21,Grenzen!$A$1:$C$33,2))</f>
      </c>
      <c r="E21" s="1">
        <f>IF(B21="","",VLOOKUP(B21,Grenzen!$A$1:$C$33,3))</f>
      </c>
      <c r="F21">
        <f t="shared" si="4"/>
      </c>
      <c r="G21">
        <f t="shared" si="5"/>
      </c>
      <c r="J21" s="8">
        <f t="shared" si="1"/>
      </c>
      <c r="K21">
        <f t="shared" si="2"/>
      </c>
    </row>
    <row r="22" spans="1:11" ht="12.75">
      <c r="A22" s="6">
        <f>IF(B22="","",15)</f>
      </c>
      <c r="B22" s="1">
        <f>IF(_XLL.EDATUM($B$5,168)&lt;=$B$6,_XLL.EDATUM($B$5,168),"")</f>
      </c>
      <c r="C22">
        <f t="shared" si="3"/>
      </c>
      <c r="D22" s="1">
        <f>IF(B22="","",VLOOKUP(B22,Grenzen!$A$1:$C$33,2))</f>
      </c>
      <c r="E22" s="1">
        <f>IF(B22="","",VLOOKUP(B22,Grenzen!$A$1:$C$33,3))</f>
      </c>
      <c r="F22">
        <f t="shared" si="4"/>
      </c>
      <c r="G22">
        <f t="shared" si="5"/>
      </c>
      <c r="J22" s="8">
        <f t="shared" si="1"/>
      </c>
      <c r="K22">
        <f t="shared" si="2"/>
      </c>
    </row>
    <row r="23" spans="1:11" ht="12.75">
      <c r="A23" s="6">
        <f>IF(B23="","",16)</f>
      </c>
      <c r="B23" s="1">
        <f>IF(_XLL.EDATUM($B$5,180)&lt;=$B$6,_XLL.EDATUM($B$5,180),"")</f>
      </c>
      <c r="C23">
        <f t="shared" si="3"/>
      </c>
      <c r="D23" s="1">
        <f>IF(B23="","",VLOOKUP(B23,Grenzen!$A$1:$C$33,2))</f>
      </c>
      <c r="E23" s="1">
        <f>IF(B23="","",VLOOKUP(B23,Grenzen!$A$1:$C$33,3))</f>
      </c>
      <c r="F23">
        <f t="shared" si="4"/>
      </c>
      <c r="G23">
        <f t="shared" si="5"/>
      </c>
      <c r="J23" s="8">
        <f t="shared" si="1"/>
      </c>
      <c r="K23">
        <f t="shared" si="2"/>
      </c>
    </row>
    <row r="24" spans="1:11" ht="12.75">
      <c r="A24" s="6">
        <f>IF(B24="","",17)</f>
      </c>
      <c r="B24" s="1">
        <f>IF(_XLL.EDATUM($B$5,192)&lt;=$B$6,_XLL.EDATUM($B$5,192),"")</f>
      </c>
      <c r="C24">
        <f t="shared" si="3"/>
      </c>
      <c r="D24" s="1">
        <f>IF(B24="","",VLOOKUP(B24,Grenzen!$A$1:$C$33,2))</f>
      </c>
      <c r="E24" s="1">
        <f>IF(B24="","",VLOOKUP(B24,Grenzen!$A$1:$C$33,3))</f>
      </c>
      <c r="F24">
        <f t="shared" si="4"/>
      </c>
      <c r="G24">
        <f t="shared" si="5"/>
      </c>
      <c r="J24" s="8">
        <f t="shared" si="1"/>
      </c>
      <c r="K24">
        <f t="shared" si="2"/>
      </c>
    </row>
    <row r="25" spans="1:11" ht="12.75">
      <c r="A25" s="6">
        <f>IF(B25="","",18)</f>
      </c>
      <c r="B25" s="1">
        <f>IF(_XLL.EDATUM($B$5,204)&lt;=$B$6,_XLL.EDATUM($B$5,204),"")</f>
      </c>
      <c r="C25">
        <f t="shared" si="3"/>
      </c>
      <c r="D25" s="1">
        <f>IF(B25="","",VLOOKUP(B25,Grenzen!$A$1:$C$33,2))</f>
      </c>
      <c r="E25" s="1">
        <f>IF(B25="","",VLOOKUP(B25,Grenzen!$A$1:$C$33,3))</f>
      </c>
      <c r="F25">
        <f t="shared" si="4"/>
      </c>
      <c r="G25">
        <f t="shared" si="5"/>
      </c>
      <c r="J25" s="8">
        <f t="shared" si="1"/>
      </c>
      <c r="K25">
        <f t="shared" si="2"/>
      </c>
    </row>
    <row r="26" spans="1:11" ht="12.75">
      <c r="A26" s="6">
        <f>IF(B26="","",19)</f>
      </c>
      <c r="B26" s="1">
        <f>IF(_XLL.EDATUM($B$5,216)&lt;=$B$6,_XLL.EDATUM($B$5,216),"")</f>
      </c>
      <c r="C26">
        <f t="shared" si="3"/>
      </c>
      <c r="D26" s="1">
        <f>IF(B26="","",VLOOKUP(B26,Grenzen!$A$1:$C$33,2))</f>
      </c>
      <c r="E26" s="1">
        <f>IF(B26="","",VLOOKUP(B26,Grenzen!$A$1:$C$33,3))</f>
      </c>
      <c r="F26">
        <f t="shared" si="4"/>
      </c>
      <c r="G26">
        <f t="shared" si="5"/>
      </c>
      <c r="J26" s="8">
        <f t="shared" si="1"/>
      </c>
      <c r="K26">
        <f t="shared" si="2"/>
      </c>
    </row>
    <row r="27" spans="1:11" ht="12.75">
      <c r="A27" s="6">
        <f>IF(B27="","",20)</f>
      </c>
      <c r="B27" s="1">
        <f>IF(_XLL.EDATUM($B$5,228)&lt;=$B$6,_XLL.EDATUM($B$5,228),"")</f>
      </c>
      <c r="C27">
        <f t="shared" si="3"/>
      </c>
      <c r="D27" s="1">
        <f>IF(B27="","",VLOOKUP(B27,Grenzen!$A$1:$C$33,2))</f>
      </c>
      <c r="E27" s="1">
        <f>IF(B27="","",VLOOKUP(B27,Grenzen!$A$1:$C$33,3))</f>
      </c>
      <c r="F27">
        <f t="shared" si="4"/>
      </c>
      <c r="G27">
        <f t="shared" si="5"/>
      </c>
      <c r="J27" s="8">
        <f t="shared" si="1"/>
      </c>
      <c r="K27">
        <f t="shared" si="2"/>
      </c>
    </row>
    <row r="28" spans="1:11" ht="12.75">
      <c r="A28" s="6">
        <f>IF(B28="","",21)</f>
      </c>
      <c r="B28" s="1">
        <f>IF(_XLL.EDATUM($B$5,240)&lt;=$B$6,_XLL.EDATUM($B$5,240),"")</f>
      </c>
      <c r="C28">
        <f t="shared" si="3"/>
      </c>
      <c r="D28" s="1">
        <f>IF(B28="","",VLOOKUP(B28,Grenzen!$A$1:$C$33,2))</f>
      </c>
      <c r="E28" s="1">
        <f>IF(B28="","",VLOOKUP(B28,Grenzen!$A$1:$C$33,3))</f>
      </c>
      <c r="F28">
        <f t="shared" si="4"/>
      </c>
      <c r="G28">
        <f t="shared" si="5"/>
      </c>
      <c r="J28" s="8">
        <f t="shared" si="1"/>
      </c>
      <c r="K28">
        <f t="shared" si="2"/>
      </c>
    </row>
    <row r="29" spans="1:11" ht="12.75">
      <c r="A29" s="6">
        <f>IF(B29="","",22)</f>
      </c>
      <c r="B29" s="1">
        <f>IF(_XLL.EDATUM($B$5,252)&lt;=$B$6,_XLL.EDATUM($B$5,252),"")</f>
      </c>
      <c r="C29">
        <f t="shared" si="3"/>
      </c>
      <c r="D29" s="1">
        <f>IF(B29="","",VLOOKUP(B29,Grenzen!$A$1:$C$33,2))</f>
      </c>
      <c r="E29" s="1">
        <f>IF(B29="","",VLOOKUP(B29,Grenzen!$A$1:$C$33,3))</f>
      </c>
      <c r="F29">
        <f t="shared" si="4"/>
      </c>
      <c r="G29">
        <f t="shared" si="5"/>
      </c>
      <c r="J29" s="8">
        <f t="shared" si="1"/>
      </c>
      <c r="K29">
        <f t="shared" si="2"/>
      </c>
    </row>
    <row r="30" spans="1:11" ht="12.75">
      <c r="A30" s="6">
        <f>IF(B30="","",23)</f>
      </c>
      <c r="B30" s="1">
        <f>IF(_XLL.EDATUM($B$5,264)&lt;=$B$6,_XLL.EDATUM($B$5,264),"")</f>
      </c>
      <c r="C30">
        <f t="shared" si="3"/>
      </c>
      <c r="D30" s="1">
        <f>IF(B30="","",VLOOKUP(B30,Grenzen!$A$1:$C$33,2))</f>
      </c>
      <c r="E30" s="1">
        <f>IF(B30="","",VLOOKUP(B30,Grenzen!$A$1:$C$33,3))</f>
      </c>
      <c r="F30">
        <f t="shared" si="4"/>
      </c>
      <c r="G30">
        <f t="shared" si="5"/>
      </c>
      <c r="J30" s="8">
        <f t="shared" si="1"/>
      </c>
      <c r="K30">
        <f t="shared" si="2"/>
      </c>
    </row>
    <row r="31" spans="1:11" ht="12.75">
      <c r="A31" s="6">
        <f>IF(B31="","",24)</f>
      </c>
      <c r="B31" s="1">
        <f>IF(_XLL.EDATUM($B$5,276)&lt;=$B$6,_XLL.EDATUM($B$5,276),"")</f>
      </c>
      <c r="C31">
        <f t="shared" si="3"/>
      </c>
      <c r="D31" s="1">
        <f>IF(B31="","",VLOOKUP(B31,Grenzen!$A$1:$C$33,2))</f>
      </c>
      <c r="E31" s="1">
        <f>IF(B31="","",VLOOKUP(B31,Grenzen!$A$1:$C$33,3))</f>
      </c>
      <c r="F31">
        <f t="shared" si="4"/>
      </c>
      <c r="G31">
        <f t="shared" si="5"/>
      </c>
      <c r="J31" s="8">
        <f t="shared" si="1"/>
      </c>
      <c r="K31">
        <f t="shared" si="2"/>
      </c>
    </row>
    <row r="32" spans="1:11" ht="12.75">
      <c r="A32" s="6">
        <f>IF(B32="","",25)</f>
      </c>
      <c r="B32" s="1">
        <f>IF(_XLL.EDATUM($B$5,288)&lt;=$B$6,_XLL.EDATUM($B$5,288),"")</f>
      </c>
      <c r="C32">
        <f t="shared" si="3"/>
      </c>
      <c r="D32" s="1">
        <f>IF(B32="","",VLOOKUP(B32,Grenzen!$A$1:$C$33,2))</f>
      </c>
      <c r="E32" s="1">
        <f>IF(B32="","",VLOOKUP(B32,Grenzen!$A$1:$C$33,3))</f>
      </c>
      <c r="F32">
        <f t="shared" si="4"/>
      </c>
      <c r="G32">
        <f t="shared" si="5"/>
      </c>
      <c r="J32" s="8">
        <f t="shared" si="1"/>
      </c>
      <c r="K32">
        <f t="shared" si="2"/>
      </c>
    </row>
  </sheetData>
  <printOptions/>
  <pageMargins left="0.75" right="0.75" top="1" bottom="1" header="0.4921259845" footer="0.4921259845"/>
  <pageSetup orientation="landscape" paperSize="9" r:id="rId4"/>
  <headerFooter alignWithMargins="0">
    <oddHeader>&amp;C&amp;"Arial,Fett"&amp;12Effektivverzinsung von Rentenwerten</oddHeader>
    <oddFooter>&amp;R&amp;6&amp;F</oddFooter>
  </headerFooter>
  <drawing r:id="rId3"/>
  <legacyDrawing r:id="rId2"/>
</worksheet>
</file>

<file path=xl/worksheets/sheet2.xml><?xml version="1.0" encoding="utf-8"?>
<worksheet xmlns="http://schemas.openxmlformats.org/spreadsheetml/2006/main" xmlns:r="http://schemas.openxmlformats.org/officeDocument/2006/relationships">
  <sheetPr codeName="Tabelle2"/>
  <dimension ref="A1:C33"/>
  <sheetViews>
    <sheetView workbookViewId="0" topLeftCell="A1">
      <selection activeCell="A1" sqref="A1"/>
    </sheetView>
  </sheetViews>
  <sheetFormatPr defaultColWidth="11.421875" defaultRowHeight="12.75"/>
  <sheetData>
    <row r="1" spans="1:3" ht="12.75">
      <c r="A1" s="1">
        <v>36525</v>
      </c>
      <c r="B1" s="1">
        <f>A1</f>
        <v>36525</v>
      </c>
      <c r="C1" s="1">
        <f>B2</f>
        <v>36891</v>
      </c>
    </row>
    <row r="2" spans="1:3" ht="12.75">
      <c r="A2" s="1">
        <v>36891</v>
      </c>
      <c r="B2" s="1">
        <f aca="true" t="shared" si="0" ref="B2:B33">A2</f>
        <v>36891</v>
      </c>
      <c r="C2" s="1">
        <f aca="true" t="shared" si="1" ref="C2:C32">B3</f>
        <v>37256</v>
      </c>
    </row>
    <row r="3" spans="1:3" ht="12.75">
      <c r="A3" s="1">
        <v>37256</v>
      </c>
      <c r="B3" s="1">
        <f t="shared" si="0"/>
        <v>37256</v>
      </c>
      <c r="C3" s="1">
        <f t="shared" si="1"/>
        <v>37621</v>
      </c>
    </row>
    <row r="4" spans="1:3" ht="12.75">
      <c r="A4" s="1">
        <v>37621</v>
      </c>
      <c r="B4" s="1">
        <f t="shared" si="0"/>
        <v>37621</v>
      </c>
      <c r="C4" s="1">
        <f t="shared" si="1"/>
        <v>37986</v>
      </c>
    </row>
    <row r="5" spans="1:3" ht="12.75">
      <c r="A5" s="1">
        <v>37986</v>
      </c>
      <c r="B5" s="1">
        <f t="shared" si="0"/>
        <v>37986</v>
      </c>
      <c r="C5" s="1">
        <f t="shared" si="1"/>
        <v>38352</v>
      </c>
    </row>
    <row r="6" spans="1:3" ht="12.75">
      <c r="A6" s="1">
        <v>38352</v>
      </c>
      <c r="B6" s="1">
        <f t="shared" si="0"/>
        <v>38352</v>
      </c>
      <c r="C6" s="1">
        <f t="shared" si="1"/>
        <v>38717</v>
      </c>
    </row>
    <row r="7" spans="1:3" ht="12.75">
      <c r="A7" s="1">
        <v>38717</v>
      </c>
      <c r="B7" s="1">
        <f t="shared" si="0"/>
        <v>38717</v>
      </c>
      <c r="C7" s="1">
        <f t="shared" si="1"/>
        <v>39082</v>
      </c>
    </row>
    <row r="8" spans="1:3" ht="12.75">
      <c r="A8" s="1">
        <v>39082</v>
      </c>
      <c r="B8" s="1">
        <f t="shared" si="0"/>
        <v>39082</v>
      </c>
      <c r="C8" s="1">
        <f t="shared" si="1"/>
        <v>39447</v>
      </c>
    </row>
    <row r="9" spans="1:3" ht="12.75">
      <c r="A9" s="1">
        <v>39447</v>
      </c>
      <c r="B9" s="1">
        <f t="shared" si="0"/>
        <v>39447</v>
      </c>
      <c r="C9" s="1">
        <f t="shared" si="1"/>
        <v>39813</v>
      </c>
    </row>
    <row r="10" spans="1:3" ht="12.75">
      <c r="A10" s="1">
        <v>39813</v>
      </c>
      <c r="B10" s="1">
        <f t="shared" si="0"/>
        <v>39813</v>
      </c>
      <c r="C10" s="1">
        <f t="shared" si="1"/>
        <v>40178</v>
      </c>
    </row>
    <row r="11" spans="1:3" ht="12.75">
      <c r="A11" s="1">
        <v>40178</v>
      </c>
      <c r="B11" s="1">
        <f t="shared" si="0"/>
        <v>40178</v>
      </c>
      <c r="C11" s="1">
        <f t="shared" si="1"/>
        <v>40543</v>
      </c>
    </row>
    <row r="12" spans="1:3" ht="12.75">
      <c r="A12" s="1">
        <v>40543</v>
      </c>
      <c r="B12" s="1">
        <f t="shared" si="0"/>
        <v>40543</v>
      </c>
      <c r="C12" s="1">
        <f t="shared" si="1"/>
        <v>40908</v>
      </c>
    </row>
    <row r="13" spans="1:3" ht="12.75">
      <c r="A13" s="1">
        <v>40908</v>
      </c>
      <c r="B13" s="1">
        <f t="shared" si="0"/>
        <v>40908</v>
      </c>
      <c r="C13" s="1">
        <f t="shared" si="1"/>
        <v>41274</v>
      </c>
    </row>
    <row r="14" spans="1:3" ht="12.75">
      <c r="A14" s="1">
        <v>41274</v>
      </c>
      <c r="B14" s="1">
        <f t="shared" si="0"/>
        <v>41274</v>
      </c>
      <c r="C14" s="1">
        <f t="shared" si="1"/>
        <v>41639</v>
      </c>
    </row>
    <row r="15" spans="1:3" ht="12.75">
      <c r="A15" s="1">
        <v>41639</v>
      </c>
      <c r="B15" s="1">
        <f t="shared" si="0"/>
        <v>41639</v>
      </c>
      <c r="C15" s="1">
        <f t="shared" si="1"/>
        <v>42004</v>
      </c>
    </row>
    <row r="16" spans="1:3" ht="12.75">
      <c r="A16" s="1">
        <v>42004</v>
      </c>
      <c r="B16" s="1">
        <f t="shared" si="0"/>
        <v>42004</v>
      </c>
      <c r="C16" s="1">
        <f t="shared" si="1"/>
        <v>42369</v>
      </c>
    </row>
    <row r="17" spans="1:3" ht="12.75">
      <c r="A17" s="1">
        <v>42369</v>
      </c>
      <c r="B17" s="1">
        <f t="shared" si="0"/>
        <v>42369</v>
      </c>
      <c r="C17" s="1">
        <f t="shared" si="1"/>
        <v>42735</v>
      </c>
    </row>
    <row r="18" spans="1:3" ht="12.75">
      <c r="A18" s="1">
        <v>42735</v>
      </c>
      <c r="B18" s="1">
        <f t="shared" si="0"/>
        <v>42735</v>
      </c>
      <c r="C18" s="1">
        <f t="shared" si="1"/>
        <v>43100</v>
      </c>
    </row>
    <row r="19" spans="1:3" ht="12.75">
      <c r="A19" s="1">
        <v>43100</v>
      </c>
      <c r="B19" s="1">
        <f t="shared" si="0"/>
        <v>43100</v>
      </c>
      <c r="C19" s="1">
        <f t="shared" si="1"/>
        <v>43465</v>
      </c>
    </row>
    <row r="20" spans="1:3" ht="12.75">
      <c r="A20" s="1">
        <v>43465</v>
      </c>
      <c r="B20" s="1">
        <f t="shared" si="0"/>
        <v>43465</v>
      </c>
      <c r="C20" s="1">
        <f t="shared" si="1"/>
        <v>43830</v>
      </c>
    </row>
    <row r="21" spans="1:3" ht="12.75">
      <c r="A21" s="1">
        <v>43830</v>
      </c>
      <c r="B21" s="1">
        <f t="shared" si="0"/>
        <v>43830</v>
      </c>
      <c r="C21" s="1">
        <f t="shared" si="1"/>
        <v>44196</v>
      </c>
    </row>
    <row r="22" spans="1:3" ht="12.75">
      <c r="A22" s="1">
        <v>44196</v>
      </c>
      <c r="B22" s="1">
        <f t="shared" si="0"/>
        <v>44196</v>
      </c>
      <c r="C22" s="1">
        <f t="shared" si="1"/>
        <v>44561</v>
      </c>
    </row>
    <row r="23" spans="1:3" ht="12.75">
      <c r="A23" s="1">
        <v>44561</v>
      </c>
      <c r="B23" s="1">
        <f t="shared" si="0"/>
        <v>44561</v>
      </c>
      <c r="C23" s="1">
        <f t="shared" si="1"/>
        <v>44926</v>
      </c>
    </row>
    <row r="24" spans="1:3" ht="12.75">
      <c r="A24" s="1">
        <v>44926</v>
      </c>
      <c r="B24" s="1">
        <f t="shared" si="0"/>
        <v>44926</v>
      </c>
      <c r="C24" s="1">
        <f t="shared" si="1"/>
        <v>45291</v>
      </c>
    </row>
    <row r="25" spans="1:3" ht="12.75">
      <c r="A25" s="1">
        <v>45291</v>
      </c>
      <c r="B25" s="1">
        <f t="shared" si="0"/>
        <v>45291</v>
      </c>
      <c r="C25" s="1">
        <f t="shared" si="1"/>
        <v>45657</v>
      </c>
    </row>
    <row r="26" spans="1:3" ht="12.75">
      <c r="A26" s="1">
        <v>45657</v>
      </c>
      <c r="B26" s="1">
        <f t="shared" si="0"/>
        <v>45657</v>
      </c>
      <c r="C26" s="1">
        <f t="shared" si="1"/>
        <v>46022</v>
      </c>
    </row>
    <row r="27" spans="1:3" ht="12.75">
      <c r="A27" s="1">
        <v>46022</v>
      </c>
      <c r="B27" s="1">
        <f t="shared" si="0"/>
        <v>46022</v>
      </c>
      <c r="C27" s="1">
        <f t="shared" si="1"/>
        <v>46387</v>
      </c>
    </row>
    <row r="28" spans="1:3" ht="12.75">
      <c r="A28" s="1">
        <v>46387</v>
      </c>
      <c r="B28" s="1">
        <f t="shared" si="0"/>
        <v>46387</v>
      </c>
      <c r="C28" s="1">
        <f t="shared" si="1"/>
        <v>46752</v>
      </c>
    </row>
    <row r="29" spans="1:3" ht="12.75">
      <c r="A29" s="1">
        <v>46752</v>
      </c>
      <c r="B29" s="1">
        <f t="shared" si="0"/>
        <v>46752</v>
      </c>
      <c r="C29" s="1">
        <f t="shared" si="1"/>
        <v>47118</v>
      </c>
    </row>
    <row r="30" spans="1:3" ht="12.75">
      <c r="A30" s="1">
        <v>47118</v>
      </c>
      <c r="B30" s="1">
        <f t="shared" si="0"/>
        <v>47118</v>
      </c>
      <c r="C30" s="1">
        <f t="shared" si="1"/>
        <v>47483</v>
      </c>
    </row>
    <row r="31" spans="1:3" ht="12.75">
      <c r="A31" s="1">
        <v>47483</v>
      </c>
      <c r="B31" s="1">
        <f t="shared" si="0"/>
        <v>47483</v>
      </c>
      <c r="C31" s="1">
        <f t="shared" si="1"/>
        <v>47848</v>
      </c>
    </row>
    <row r="32" spans="1:3" ht="12.75">
      <c r="A32" s="1">
        <v>47848</v>
      </c>
      <c r="B32" s="1">
        <f t="shared" si="0"/>
        <v>47848</v>
      </c>
      <c r="C32" s="1">
        <f t="shared" si="1"/>
        <v>48213</v>
      </c>
    </row>
    <row r="33" spans="1:2" ht="12.75">
      <c r="A33" s="1">
        <v>48213</v>
      </c>
      <c r="B33" s="1">
        <f t="shared" si="0"/>
        <v>48213</v>
      </c>
    </row>
  </sheetData>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A1"/>
  <sheetViews>
    <sheetView workbookViewId="0" topLeftCell="A1">
      <selection activeCell="A1" sqref="A1"/>
    </sheetView>
  </sheetViews>
  <sheetFormatPr defaultColWidth="11.421875" defaultRowHeight="12.75"/>
  <sheetData/>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Prof. Dr. Klaus Gach</dc:creator>
  <cp:keywords/>
  <dc:description/>
  <cp:lastModifiedBy>Prof. Dr. Klaus Gach</cp:lastModifiedBy>
  <cp:lastPrinted>2003-02-22T15:00:42Z</cp:lastPrinted>
  <dcterms:created xsi:type="dcterms:W3CDTF">2003-02-21T14:16:47Z</dcterms:created>
  <dcterms:modified xsi:type="dcterms:W3CDTF">2007-09-11T16:00:06Z</dcterms:modified>
  <cp:category/>
  <cp:version/>
  <cp:contentType/>
  <cp:contentStatus/>
</cp:coreProperties>
</file>